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000001_{64E1E4ED-140A-E54F-80BE-A3FDD482E36E}" xr6:coauthVersionLast="47" xr6:coauthVersionMax="47" xr10:uidLastSave="{00000000-0000-0000-0000-000000000000}"/>
  <bookViews>
    <workbookView xWindow="0" yWindow="0" windowWidth="20490" windowHeight="7050" xr2:uid="{00000000-000D-0000-FFFF-FFFF00000000}"/>
  </bookViews>
  <sheets>
    <sheet name="Педагог." sheetId="1" r:id="rId1"/>
    <sheet name="Лист2" sheetId="5" r:id="rId2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5" l="1"/>
  <c r="N25" i="5"/>
  <c r="O25" i="5"/>
  <c r="P25" i="5"/>
  <c r="R25" i="5"/>
  <c r="AD25" i="5"/>
  <c r="H23" i="5"/>
  <c r="N23" i="5"/>
  <c r="O23" i="5"/>
  <c r="P23" i="5"/>
  <c r="R23" i="5"/>
  <c r="T23" i="5"/>
  <c r="AB23" i="5"/>
  <c r="H24" i="5"/>
  <c r="N24" i="5"/>
  <c r="O24" i="5"/>
  <c r="P24" i="5"/>
  <c r="R24" i="5"/>
  <c r="T24" i="5"/>
  <c r="AB24" i="5"/>
  <c r="AD23" i="5"/>
  <c r="M24" i="5"/>
  <c r="M23" i="5"/>
  <c r="T15" i="5"/>
  <c r="M15" i="5"/>
  <c r="H15" i="5"/>
  <c r="U15" i="5"/>
  <c r="H14" i="5"/>
  <c r="M14" i="5"/>
  <c r="N14" i="5"/>
  <c r="O14" i="5"/>
  <c r="P14" i="5"/>
  <c r="R14" i="5"/>
  <c r="U14" i="5"/>
  <c r="V14" i="5"/>
  <c r="H26" i="5"/>
  <c r="O26" i="5"/>
  <c r="T22" i="5"/>
  <c r="M22" i="5"/>
  <c r="H22" i="5"/>
  <c r="P22" i="5"/>
  <c r="M17" i="5"/>
  <c r="H17" i="5"/>
  <c r="O17" i="5"/>
  <c r="R17" i="5"/>
  <c r="AB17" i="5"/>
  <c r="I27" i="5"/>
  <c r="J27" i="5"/>
  <c r="K27" i="5"/>
  <c r="S27" i="5"/>
  <c r="T21" i="5"/>
  <c r="M21" i="5"/>
  <c r="H21" i="5"/>
  <c r="P21" i="5"/>
  <c r="M20" i="5"/>
  <c r="H20" i="5"/>
  <c r="O20" i="5"/>
  <c r="M19" i="5"/>
  <c r="H19" i="5"/>
  <c r="O19" i="5"/>
  <c r="L27" i="5"/>
  <c r="Q27" i="5"/>
  <c r="W27" i="5"/>
  <c r="X27" i="5"/>
  <c r="Y27" i="5"/>
  <c r="Z27" i="5"/>
  <c r="AA27" i="5"/>
  <c r="AC27" i="5"/>
  <c r="M18" i="5"/>
  <c r="H18" i="5"/>
  <c r="O18" i="5"/>
  <c r="M16" i="5"/>
  <c r="H16" i="5"/>
  <c r="O16" i="5"/>
  <c r="V13" i="5"/>
  <c r="T13" i="5"/>
  <c r="M13" i="5"/>
  <c r="H13" i="5"/>
  <c r="P13" i="5"/>
  <c r="M32" i="1"/>
  <c r="V26" i="1"/>
  <c r="L65" i="1"/>
  <c r="H16" i="1"/>
  <c r="Q16" i="1"/>
  <c r="H32" i="1"/>
  <c r="Q32" i="1"/>
  <c r="Q65" i="1"/>
  <c r="V63" i="1"/>
  <c r="H63" i="1"/>
  <c r="N63" i="1"/>
  <c r="O63" i="1"/>
  <c r="P63" i="1"/>
  <c r="R63" i="1"/>
  <c r="AD63" i="1"/>
  <c r="T24" i="1"/>
  <c r="T23" i="1"/>
  <c r="V21" i="1"/>
  <c r="T20" i="1"/>
  <c r="M16" i="1"/>
  <c r="T14" i="1"/>
  <c r="T15" i="1"/>
  <c r="T17" i="1"/>
  <c r="T19" i="1"/>
  <c r="T25" i="1"/>
  <c r="T27" i="1"/>
  <c r="T28" i="1"/>
  <c r="T29" i="1"/>
  <c r="T30" i="1"/>
  <c r="T31" i="1"/>
  <c r="T32" i="1"/>
  <c r="T34" i="1"/>
  <c r="T35" i="1"/>
  <c r="T36" i="1"/>
  <c r="T39" i="1"/>
  <c r="T40" i="1"/>
  <c r="T41" i="1"/>
  <c r="T42" i="1"/>
  <c r="T43" i="1"/>
  <c r="T44" i="1"/>
  <c r="V45" i="1"/>
  <c r="T47" i="1"/>
  <c r="T48" i="1"/>
  <c r="T49" i="1"/>
  <c r="T50" i="1"/>
  <c r="V62" i="1"/>
  <c r="N15" i="5"/>
  <c r="P15" i="5"/>
  <c r="O15" i="5"/>
  <c r="AB14" i="5"/>
  <c r="AD14" i="5"/>
  <c r="P26" i="5"/>
  <c r="V26" i="5"/>
  <c r="O22" i="5"/>
  <c r="U22" i="5"/>
  <c r="N22" i="5"/>
  <c r="R22" i="5"/>
  <c r="M27" i="5"/>
  <c r="T27" i="5"/>
  <c r="O21" i="5"/>
  <c r="U21" i="5"/>
  <c r="N21" i="5"/>
  <c r="N19" i="5"/>
  <c r="P19" i="5"/>
  <c r="N20" i="5"/>
  <c r="R20" i="5"/>
  <c r="AB20" i="5"/>
  <c r="U18" i="5"/>
  <c r="N18" i="5"/>
  <c r="P18" i="5"/>
  <c r="N16" i="5"/>
  <c r="P16" i="5"/>
  <c r="R16" i="5"/>
  <c r="AB16" i="5"/>
  <c r="AD16" i="5"/>
  <c r="O13" i="5"/>
  <c r="U13" i="5"/>
  <c r="N13" i="5"/>
  <c r="AC65" i="1"/>
  <c r="AA65" i="1"/>
  <c r="Z65" i="1"/>
  <c r="Y65" i="1"/>
  <c r="X65" i="1"/>
  <c r="W65" i="1"/>
  <c r="S65" i="1"/>
  <c r="K65" i="1"/>
  <c r="J65" i="1"/>
  <c r="I65" i="1"/>
  <c r="V64" i="1"/>
  <c r="T61" i="1"/>
  <c r="M61" i="1"/>
  <c r="H61" i="1"/>
  <c r="P61" i="1"/>
  <c r="M60" i="1"/>
  <c r="H60" i="1"/>
  <c r="N60" i="1"/>
  <c r="M63" i="1"/>
  <c r="T57" i="1"/>
  <c r="T58" i="1"/>
  <c r="H57" i="1"/>
  <c r="O57" i="1"/>
  <c r="M57" i="1"/>
  <c r="T56" i="1"/>
  <c r="M62" i="1"/>
  <c r="H62" i="1"/>
  <c r="P62" i="1"/>
  <c r="T53" i="1"/>
  <c r="T52" i="1"/>
  <c r="M51" i="1"/>
  <c r="H51" i="1"/>
  <c r="M50" i="1"/>
  <c r="H50" i="1"/>
  <c r="M34" i="1"/>
  <c r="H34" i="1"/>
  <c r="M33" i="1"/>
  <c r="H33" i="1"/>
  <c r="O33" i="1"/>
  <c r="M31" i="1"/>
  <c r="H31" i="1"/>
  <c r="U31" i="1"/>
  <c r="M24" i="1"/>
  <c r="H24" i="1"/>
  <c r="M21" i="1"/>
  <c r="H21" i="1"/>
  <c r="U21" i="1"/>
  <c r="M20" i="1"/>
  <c r="H20" i="1"/>
  <c r="M19" i="1"/>
  <c r="H19" i="1"/>
  <c r="M18" i="1"/>
  <c r="H18" i="1"/>
  <c r="O18" i="1"/>
  <c r="H17" i="1"/>
  <c r="U17" i="1"/>
  <c r="M15" i="1"/>
  <c r="H15" i="1"/>
  <c r="P15" i="1"/>
  <c r="V27" i="5"/>
  <c r="R15" i="5"/>
  <c r="AB15" i="5"/>
  <c r="AD15" i="5"/>
  <c r="AB22" i="5"/>
  <c r="AD22" i="5"/>
  <c r="N27" i="5"/>
  <c r="O27" i="5"/>
  <c r="U27" i="5"/>
  <c r="P27" i="5"/>
  <c r="R21" i="5"/>
  <c r="AB21" i="5"/>
  <c r="AD21" i="5"/>
  <c r="R19" i="5"/>
  <c r="AB19" i="5"/>
  <c r="AD19" i="5"/>
  <c r="R18" i="5"/>
  <c r="AB18" i="5"/>
  <c r="AD18" i="5"/>
  <c r="R13" i="5"/>
  <c r="O19" i="1"/>
  <c r="U19" i="1"/>
  <c r="O20" i="1"/>
  <c r="U20" i="1"/>
  <c r="P24" i="1"/>
  <c r="U24" i="1"/>
  <c r="O34" i="1"/>
  <c r="U34" i="1"/>
  <c r="P50" i="1"/>
  <c r="U50" i="1"/>
  <c r="P51" i="1"/>
  <c r="U51" i="1"/>
  <c r="O61" i="1"/>
  <c r="O60" i="1"/>
  <c r="R60" i="1"/>
  <c r="AB60" i="1"/>
  <c r="U61" i="1"/>
  <c r="N61" i="1"/>
  <c r="N57" i="1"/>
  <c r="P57" i="1"/>
  <c r="P33" i="1"/>
  <c r="N17" i="1"/>
  <c r="O62" i="1"/>
  <c r="N62" i="1"/>
  <c r="O51" i="1"/>
  <c r="N51" i="1"/>
  <c r="O50" i="1"/>
  <c r="N50" i="1"/>
  <c r="N33" i="1"/>
  <c r="R33" i="1"/>
  <c r="N34" i="1"/>
  <c r="P34" i="1"/>
  <c r="N31" i="1"/>
  <c r="P31" i="1"/>
  <c r="O31" i="1"/>
  <c r="P19" i="1"/>
  <c r="O24" i="1"/>
  <c r="N24" i="1"/>
  <c r="N21" i="1"/>
  <c r="P21" i="1"/>
  <c r="O21" i="1"/>
  <c r="N20" i="1"/>
  <c r="P20" i="1"/>
  <c r="N19" i="1"/>
  <c r="R19" i="1"/>
  <c r="N18" i="1"/>
  <c r="P18" i="1"/>
  <c r="O15" i="1"/>
  <c r="N15" i="1"/>
  <c r="T55" i="1"/>
  <c r="H26" i="1"/>
  <c r="T65" i="1"/>
  <c r="M58" i="1"/>
  <c r="H58" i="1"/>
  <c r="P58" i="1"/>
  <c r="H44" i="1"/>
  <c r="H45" i="1"/>
  <c r="H46" i="1"/>
  <c r="P46" i="1"/>
  <c r="H47" i="1"/>
  <c r="P47" i="1"/>
  <c r="H48" i="1"/>
  <c r="H49" i="1"/>
  <c r="H52" i="1"/>
  <c r="N52" i="1"/>
  <c r="H53" i="1"/>
  <c r="U53" i="1"/>
  <c r="H54" i="1"/>
  <c r="N54" i="1"/>
  <c r="H55" i="1"/>
  <c r="H56" i="1"/>
  <c r="H59" i="1"/>
  <c r="H64" i="1"/>
  <c r="O64" i="1"/>
  <c r="M14" i="1"/>
  <c r="H14" i="1"/>
  <c r="N14" i="1"/>
  <c r="M43" i="1"/>
  <c r="M44" i="1"/>
  <c r="M45" i="1"/>
  <c r="M46" i="1"/>
  <c r="M47" i="1"/>
  <c r="M48" i="1"/>
  <c r="M49" i="1"/>
  <c r="M52" i="1"/>
  <c r="M53" i="1"/>
  <c r="M54" i="1"/>
  <c r="M55" i="1"/>
  <c r="M56" i="1"/>
  <c r="M59" i="1"/>
  <c r="M64" i="1"/>
  <c r="H43" i="1"/>
  <c r="U43" i="1"/>
  <c r="H27" i="1"/>
  <c r="O27" i="1"/>
  <c r="M23" i="1"/>
  <c r="M17" i="1"/>
  <c r="O17" i="1"/>
  <c r="P17" i="1"/>
  <c r="M39" i="1"/>
  <c r="H39" i="1"/>
  <c r="H23" i="1"/>
  <c r="M22" i="1"/>
  <c r="H22" i="1"/>
  <c r="M42" i="1"/>
  <c r="M41" i="1"/>
  <c r="M40" i="1"/>
  <c r="M38" i="1"/>
  <c r="M37" i="1"/>
  <c r="M36" i="1"/>
  <c r="M35" i="1"/>
  <c r="M30" i="1"/>
  <c r="M29" i="1"/>
  <c r="M28" i="1"/>
  <c r="M27" i="1"/>
  <c r="M26" i="1"/>
  <c r="M25" i="1"/>
  <c r="M13" i="1"/>
  <c r="H42" i="1"/>
  <c r="H41" i="1"/>
  <c r="P41" i="1"/>
  <c r="H40" i="1"/>
  <c r="U40" i="1"/>
  <c r="H38" i="1"/>
  <c r="P38" i="1"/>
  <c r="H37" i="1"/>
  <c r="H36" i="1"/>
  <c r="U36" i="1"/>
  <c r="H35" i="1"/>
  <c r="U35" i="1"/>
  <c r="H30" i="1"/>
  <c r="H29" i="1"/>
  <c r="U29" i="1"/>
  <c r="H28" i="1"/>
  <c r="H25" i="1"/>
  <c r="U25" i="1"/>
  <c r="H13" i="1"/>
  <c r="O13" i="1"/>
  <c r="O26" i="1"/>
  <c r="R27" i="5"/>
  <c r="AB13" i="5"/>
  <c r="AB27" i="5"/>
  <c r="P16" i="1"/>
  <c r="R18" i="1"/>
  <c r="AB18" i="1"/>
  <c r="R34" i="1"/>
  <c r="R50" i="1"/>
  <c r="R51" i="1"/>
  <c r="N30" i="1"/>
  <c r="U30" i="1"/>
  <c r="P39" i="1"/>
  <c r="U39" i="1"/>
  <c r="O49" i="1"/>
  <c r="U49" i="1"/>
  <c r="P45" i="1"/>
  <c r="U45" i="1"/>
  <c r="R21" i="1"/>
  <c r="R31" i="1"/>
  <c r="AB31" i="1"/>
  <c r="AD31" i="1"/>
  <c r="N22" i="1"/>
  <c r="U22" i="1"/>
  <c r="P23" i="1"/>
  <c r="U23" i="1"/>
  <c r="N48" i="1"/>
  <c r="U48" i="1"/>
  <c r="N44" i="1"/>
  <c r="U44" i="1"/>
  <c r="N26" i="1"/>
  <c r="M65" i="1"/>
  <c r="R15" i="1"/>
  <c r="AB15" i="1"/>
  <c r="AD15" i="1"/>
  <c r="R20" i="1"/>
  <c r="AB20" i="1"/>
  <c r="AD20" i="1"/>
  <c r="R24" i="1"/>
  <c r="AB24" i="1"/>
  <c r="AD24" i="1"/>
  <c r="R17" i="1"/>
  <c r="AB17" i="1"/>
  <c r="R61" i="1"/>
  <c r="AB61" i="1"/>
  <c r="AD61" i="1"/>
  <c r="R62" i="1"/>
  <c r="N59" i="1"/>
  <c r="N58" i="1"/>
  <c r="R57" i="1"/>
  <c r="AB57" i="1"/>
  <c r="AB33" i="1"/>
  <c r="P56" i="1"/>
  <c r="O56" i="1"/>
  <c r="O55" i="1"/>
  <c r="N55" i="1"/>
  <c r="AB51" i="1"/>
  <c r="AD51" i="1"/>
  <c r="O42" i="1"/>
  <c r="AB50" i="1"/>
  <c r="AD50" i="1"/>
  <c r="P35" i="1"/>
  <c r="O38" i="1"/>
  <c r="N41" i="1"/>
  <c r="N27" i="1"/>
  <c r="O22" i="1"/>
  <c r="N28" i="1"/>
  <c r="O30" i="1"/>
  <c r="AB34" i="1"/>
  <c r="AD34" i="1"/>
  <c r="P27" i="1"/>
  <c r="P26" i="1"/>
  <c r="P32" i="1"/>
  <c r="O59" i="1"/>
  <c r="AB19" i="1"/>
  <c r="AD19" i="1"/>
  <c r="N23" i="1"/>
  <c r="O28" i="1"/>
  <c r="N38" i="1"/>
  <c r="P28" i="1"/>
  <c r="N53" i="1"/>
  <c r="N64" i="1"/>
  <c r="P53" i="1"/>
  <c r="O41" i="1"/>
  <c r="O36" i="1"/>
  <c r="N35" i="1"/>
  <c r="P30" i="1"/>
  <c r="P36" i="1"/>
  <c r="N39" i="1"/>
  <c r="O47" i="1"/>
  <c r="O53" i="1"/>
  <c r="P49" i="1"/>
  <c r="P64" i="1"/>
  <c r="N56" i="1"/>
  <c r="O45" i="1"/>
  <c r="N49" i="1"/>
  <c r="P59" i="1"/>
  <c r="N25" i="1"/>
  <c r="P29" i="1"/>
  <c r="P54" i="1"/>
  <c r="O32" i="1"/>
  <c r="O48" i="1"/>
  <c r="O46" i="1"/>
  <c r="N43" i="1"/>
  <c r="O25" i="1"/>
  <c r="N32" i="1"/>
  <c r="P40" i="1"/>
  <c r="N29" i="1"/>
  <c r="O40" i="1"/>
  <c r="O29" i="1"/>
  <c r="O52" i="1"/>
  <c r="P43" i="1"/>
  <c r="N46" i="1"/>
  <c r="R46" i="1"/>
  <c r="U52" i="1"/>
  <c r="O35" i="1"/>
  <c r="N36" i="1"/>
  <c r="R36" i="1"/>
  <c r="N40" i="1"/>
  <c r="R40" i="1"/>
  <c r="N37" i="1"/>
  <c r="P37" i="1"/>
  <c r="N42" i="1"/>
  <c r="O37" i="1"/>
  <c r="P25" i="1"/>
  <c r="P42" i="1"/>
  <c r="P52" i="1"/>
  <c r="O54" i="1"/>
  <c r="P55" i="1"/>
  <c r="O44" i="1"/>
  <c r="P44" i="1"/>
  <c r="O43" i="1"/>
  <c r="U54" i="1"/>
  <c r="O58" i="1"/>
  <c r="O23" i="1"/>
  <c r="P13" i="1"/>
  <c r="N13" i="1"/>
  <c r="N16" i="1"/>
  <c r="O16" i="1"/>
  <c r="P22" i="1"/>
  <c r="O39" i="1"/>
  <c r="P14" i="1"/>
  <c r="N45" i="1"/>
  <c r="R45" i="1"/>
  <c r="O14" i="1"/>
  <c r="P48" i="1"/>
  <c r="N47" i="1"/>
  <c r="AD13" i="5"/>
  <c r="AD27" i="5"/>
  <c r="R42" i="1"/>
  <c r="R37" i="1"/>
  <c r="R32" i="1"/>
  <c r="AB32" i="1"/>
  <c r="R16" i="1"/>
  <c r="AB16" i="1"/>
  <c r="AB63" i="1"/>
  <c r="R26" i="1"/>
  <c r="R47" i="1"/>
  <c r="O65" i="1"/>
  <c r="R49" i="1"/>
  <c r="AB49" i="1"/>
  <c r="AD49" i="1"/>
  <c r="R38" i="1"/>
  <c r="AB38" i="1"/>
  <c r="R25" i="1"/>
  <c r="AB25" i="1"/>
  <c r="AD25" i="1"/>
  <c r="R39" i="1"/>
  <c r="R23" i="1"/>
  <c r="AB23" i="1"/>
  <c r="AD23" i="1"/>
  <c r="R28" i="1"/>
  <c r="R27" i="1"/>
  <c r="R14" i="1"/>
  <c r="R30" i="1"/>
  <c r="AB30" i="1"/>
  <c r="AD30" i="1"/>
  <c r="R13" i="1"/>
  <c r="AB13" i="1"/>
  <c r="R29" i="1"/>
  <c r="AB29" i="1"/>
  <c r="AD29" i="1"/>
  <c r="R43" i="1"/>
  <c r="AB14" i="1"/>
  <c r="AD14" i="1"/>
  <c r="R35" i="1"/>
  <c r="R41" i="1"/>
  <c r="AB41" i="1"/>
  <c r="R44" i="1"/>
  <c r="R48" i="1"/>
  <c r="R22" i="1"/>
  <c r="P65" i="1"/>
  <c r="N65" i="1"/>
  <c r="AB62" i="1"/>
  <c r="R58" i="1"/>
  <c r="AB58" i="1"/>
  <c r="AD57" i="1"/>
  <c r="R56" i="1"/>
  <c r="AB56" i="1"/>
  <c r="U65" i="1"/>
  <c r="AB40" i="1"/>
  <c r="AD40" i="1"/>
  <c r="AB46" i="1"/>
  <c r="AB27" i="1"/>
  <c r="AB35" i="1"/>
  <c r="AD35" i="1"/>
  <c r="AB22" i="1"/>
  <c r="AD22" i="1"/>
  <c r="R53" i="1"/>
  <c r="AB53" i="1"/>
  <c r="AD53" i="1"/>
  <c r="R64" i="1"/>
  <c r="AB64" i="1"/>
  <c r="AD64" i="1"/>
  <c r="AB26" i="1"/>
  <c r="AD26" i="1"/>
  <c r="R59" i="1"/>
  <c r="AB59" i="1"/>
  <c r="AD59" i="1"/>
  <c r="AB28" i="1"/>
  <c r="AD17" i="1"/>
  <c r="AB39" i="1"/>
  <c r="AD39" i="1"/>
  <c r="AB47" i="1"/>
  <c r="AB45" i="1"/>
  <c r="AD45" i="1"/>
  <c r="AB36" i="1"/>
  <c r="AD36" i="1"/>
  <c r="R55" i="1"/>
  <c r="AB44" i="1"/>
  <c r="AD44" i="1"/>
  <c r="R54" i="1"/>
  <c r="AB54" i="1"/>
  <c r="AD54" i="1"/>
  <c r="R52" i="1"/>
  <c r="AB52" i="1"/>
  <c r="AD52" i="1"/>
  <c r="AB43" i="1"/>
  <c r="AD43" i="1"/>
  <c r="AD16" i="1"/>
  <c r="AB42" i="1"/>
  <c r="AB37" i="1"/>
  <c r="AD32" i="1"/>
  <c r="AD37" i="1"/>
  <c r="AD41" i="1"/>
  <c r="R65" i="1"/>
  <c r="AD62" i="1"/>
  <c r="AB55" i="1"/>
  <c r="AD55" i="1"/>
  <c r="AD27" i="1"/>
  <c r="AD46" i="1"/>
  <c r="AB48" i="1"/>
  <c r="AD48" i="1"/>
  <c r="AD13" i="1"/>
  <c r="V65" i="1"/>
  <c r="AB21" i="1"/>
  <c r="AB65" i="1"/>
  <c r="AD21" i="1"/>
  <c r="AD65" i="1"/>
</calcChain>
</file>

<file path=xl/sharedStrings.xml><?xml version="1.0" encoding="utf-8"?>
<sst xmlns="http://schemas.openxmlformats.org/spreadsheetml/2006/main" count="333" uniqueCount="206">
  <si>
    <t>Ф.И.О</t>
  </si>
  <si>
    <t>Педогогический стаж работы, лет</t>
  </si>
  <si>
    <t>Коэффицент кратности</t>
  </si>
  <si>
    <t>Ставка в месяц</t>
  </si>
  <si>
    <t>Ставка в месяц с учетом повышении</t>
  </si>
  <si>
    <t>Число часов в неделю</t>
  </si>
  <si>
    <t>Заробатная плата за педагогическую деятельность (сом)</t>
  </si>
  <si>
    <t>1-4 классы</t>
  </si>
  <si>
    <t>5-9 классы</t>
  </si>
  <si>
    <t>10-11 классы</t>
  </si>
  <si>
    <t>Всего:</t>
  </si>
  <si>
    <t>Классное руководство</t>
  </si>
  <si>
    <t>Проверку тетрадей</t>
  </si>
  <si>
    <t>Педогогический стаж работы</t>
  </si>
  <si>
    <t>Звание, статус</t>
  </si>
  <si>
    <t>Библиотечную работу</t>
  </si>
  <si>
    <t>Работу в сельской месности</t>
  </si>
  <si>
    <t>Всего доплат (сом)</t>
  </si>
  <si>
    <t>Доплата за (сом)</t>
  </si>
  <si>
    <t>Надбавка к окладу и ставке за стаж работы и высокогорных и отдаленных зонах, сом</t>
  </si>
  <si>
    <t>Всего зароботная плата в месяц, сом</t>
  </si>
  <si>
    <t>Районный коэффицент, %</t>
  </si>
  <si>
    <t xml:space="preserve">Итого зароботная плата за месяц с учетом коэффицента доплат за работу </t>
  </si>
  <si>
    <t>Тарификационный список</t>
  </si>
  <si>
    <t xml:space="preserve">                                          педагогических работников образовательной организации</t>
  </si>
  <si>
    <t>Преподав. предмет</t>
  </si>
  <si>
    <t>Образов.</t>
  </si>
  <si>
    <t xml:space="preserve">№       </t>
  </si>
  <si>
    <t>Итого педагогическая заработная плата в месяц      ( сом)</t>
  </si>
  <si>
    <t>7</t>
  </si>
  <si>
    <t>8</t>
  </si>
  <si>
    <t>9</t>
  </si>
  <si>
    <t>10</t>
  </si>
  <si>
    <t>ИТОГО:</t>
  </si>
  <si>
    <t>Глав.бухгалтер горОО:</t>
  </si>
  <si>
    <t>Б.А.Молдомуратова</t>
  </si>
  <si>
    <t>Экономист горОО:</t>
  </si>
  <si>
    <t xml:space="preserve">Расчет.бухгалтер: </t>
  </si>
  <si>
    <t>Согласовано:</t>
  </si>
  <si>
    <t>Утверждаю:</t>
  </si>
  <si>
    <t>6</t>
  </si>
  <si>
    <t>Орус тил, адабият</t>
  </si>
  <si>
    <t>11</t>
  </si>
  <si>
    <t>12</t>
  </si>
  <si>
    <t>13</t>
  </si>
  <si>
    <t>Биология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</si>
  <si>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</si>
  <si>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</si>
  <si>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</si>
  <si>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</si>
  <si>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</si>
  <si>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</si>
  <si>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</si>
  <si>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</si>
  <si>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</si>
  <si>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</si>
  <si>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</si>
  <si>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</si>
  <si>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</si>
  <si>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</si>
  <si>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</si>
  <si>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</si>
  <si>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</si>
  <si>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</si>
  <si>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</si>
  <si>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</si>
  <si>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</si>
  <si>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</si>
  <si>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</si>
  <si>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Бакалавр ЖАГУ </t>
  </si>
  <si>
    <t>______________________Т.А.Уманалиев</t>
  </si>
  <si>
    <t>Анарбек кызы Алина</t>
  </si>
  <si>
    <t>Макелеева Нургул Суранбаевна</t>
  </si>
  <si>
    <t>Жунусалиева Зарина Абдывасытовна</t>
  </si>
  <si>
    <t>Тенгебаева Гулмира Арыковна</t>
  </si>
  <si>
    <t>Жолчуева Айзада Акбердиевна</t>
  </si>
  <si>
    <t>Мусабаева Каныкей Курбанбековна</t>
  </si>
  <si>
    <t>Эсенова Калбу Сарымсаковна</t>
  </si>
  <si>
    <t>Наименование организации                       Сш №6 им. Т.Уметалиева</t>
  </si>
  <si>
    <t>1</t>
  </si>
  <si>
    <t>Уманалиев Туран Абдураимович</t>
  </si>
  <si>
    <t>Физика</t>
  </si>
  <si>
    <t xml:space="preserve">Жогорку ЖАГУ </t>
  </si>
  <si>
    <t>2</t>
  </si>
  <si>
    <t>Башт.класс</t>
  </si>
  <si>
    <t>3</t>
  </si>
  <si>
    <t>Картаева Мооркан Алимбековна</t>
  </si>
  <si>
    <t xml:space="preserve">Жогорку ОГПИ </t>
  </si>
  <si>
    <t>4</t>
  </si>
  <si>
    <t>Дене тарбия башт.кл</t>
  </si>
  <si>
    <t>Атайын орто Пед.кол</t>
  </si>
  <si>
    <t>5</t>
  </si>
  <si>
    <t>Айтбаева Гулмира Ырысбековна</t>
  </si>
  <si>
    <t>Аккулиева Аида Райымбердиевна</t>
  </si>
  <si>
    <t>Тарых</t>
  </si>
  <si>
    <t>Бузурманкулова Гуланда Токтогуловна</t>
  </si>
  <si>
    <t>Жогорку КМУ</t>
  </si>
  <si>
    <t>Дюйшебаев Атанбек Абдылдаевич</t>
  </si>
  <si>
    <t>Дыйканбаева Роза Нарынбаевна</t>
  </si>
  <si>
    <t>Чет.тил</t>
  </si>
  <si>
    <t>Чет.тил башт.кл</t>
  </si>
  <si>
    <t>Жолдошева Нурзира Кылычбековна</t>
  </si>
  <si>
    <t>Бакалавр ОшМУ</t>
  </si>
  <si>
    <t>Карабекова Кадийча Ызабековна</t>
  </si>
  <si>
    <t>Атайын орто ЖАМУ</t>
  </si>
  <si>
    <t>Канаева Айпери Жандарбековна</t>
  </si>
  <si>
    <t>Сурот</t>
  </si>
  <si>
    <t>Курманалиева Айсалкын Ташболотовна</t>
  </si>
  <si>
    <t xml:space="preserve">Жогорку ЖАМУ </t>
  </si>
  <si>
    <t>Мамбеталиева Майрам Тургуналиевна</t>
  </si>
  <si>
    <t>Жогорку ОшМУ</t>
  </si>
  <si>
    <t>Жогорку БГУ</t>
  </si>
  <si>
    <t>Наржигитова Мээргул Шералиевна</t>
  </si>
  <si>
    <t>Бакалавр ЖАГУ</t>
  </si>
  <si>
    <t>Намазбекова Элиза Кадырбековна</t>
  </si>
  <si>
    <t>Орус тил, адабият башт.класс</t>
  </si>
  <si>
    <t>Жогорку КЭАУ</t>
  </si>
  <si>
    <t>Султанкулова Уктомхан Муктаровна</t>
  </si>
  <si>
    <t>Кырг.тил, адабият</t>
  </si>
  <si>
    <t>Садырбаев Нуралы Анарбекович</t>
  </si>
  <si>
    <t>Дене тарбия,АЧД</t>
  </si>
  <si>
    <t xml:space="preserve">Химия </t>
  </si>
  <si>
    <t>Чет  тил</t>
  </si>
  <si>
    <t>Жогорку ЖАГУ</t>
  </si>
  <si>
    <t xml:space="preserve">Жогорку КГНУ </t>
  </si>
  <si>
    <t>Темирбекова Айтурган Акбаралыевна</t>
  </si>
  <si>
    <t>Математика, геометрия</t>
  </si>
  <si>
    <t>Турсунбекова Малика Нуркуловна</t>
  </si>
  <si>
    <t>Атайын орто ОГПИ</t>
  </si>
  <si>
    <t>Умматали кызы Чынара</t>
  </si>
  <si>
    <t>Атайын орто Аксы Пед.кол</t>
  </si>
  <si>
    <t>Шабданова Анархон Мамырбековна</t>
  </si>
  <si>
    <t>Жогорку УГУ</t>
  </si>
  <si>
    <t>Шералы кызы Гулжамал</t>
  </si>
  <si>
    <t>Тарых, адам ж-а коом</t>
  </si>
  <si>
    <t>Абдыкаимова Айжан Артыкбаевна</t>
  </si>
  <si>
    <t>Ыманбай кызы Гулиса</t>
  </si>
  <si>
    <t>Бакалавр ЖАМУ</t>
  </si>
  <si>
    <t>Эрматова Элмира Эгенбердиевна</t>
  </si>
  <si>
    <t>Орус тил, башт.кл</t>
  </si>
  <si>
    <t>Эшкараева Шаршенкул Чоторбаевна</t>
  </si>
  <si>
    <t>Анашова Улара Аскарбековна</t>
  </si>
  <si>
    <t>Бакалавр  ЖАГУ</t>
  </si>
  <si>
    <t>Эшмырзаева Жазгул Эшмырзаевна</t>
  </si>
  <si>
    <t xml:space="preserve">География </t>
  </si>
  <si>
    <t>Жогорку ЖАМУ</t>
  </si>
  <si>
    <t>Якубова Элмира Жаббаровна</t>
  </si>
  <si>
    <t>Башт. класс</t>
  </si>
  <si>
    <t>Руководство кружком (сом)</t>
  </si>
  <si>
    <t xml:space="preserve">Директор школы № 6 им.Т.Уметалиева </t>
  </si>
  <si>
    <t xml:space="preserve">Местонахождение                                        г.Таш-Кумыр    пос.Кызыл-Жар               </t>
  </si>
  <si>
    <t xml:space="preserve">Завуч сш №6: </t>
  </si>
  <si>
    <t>Профком сш №6:</t>
  </si>
  <si>
    <t>Г.Ы.Айтбаева</t>
  </si>
  <si>
    <t>А.А.Жолчуева</t>
  </si>
  <si>
    <t xml:space="preserve"> Заведующий ГорОО:</t>
  </si>
  <si>
    <t xml:space="preserve">                                                         за 2022 - 2023 учебный год</t>
  </si>
  <si>
    <t>Абдыбаева Гулина Шатманалыевна</t>
  </si>
  <si>
    <t>Абдылдаева Айзада Алимжановна</t>
  </si>
  <si>
    <t>Бердалиева Гулнур Токтогуловна</t>
  </si>
  <si>
    <t>Бекмырзаева Айгул Исакбаевна</t>
  </si>
  <si>
    <t>37</t>
  </si>
  <si>
    <t>38</t>
  </si>
  <si>
    <t>39</t>
  </si>
  <si>
    <t>40</t>
  </si>
  <si>
    <t>41</t>
  </si>
  <si>
    <t>42</t>
  </si>
  <si>
    <t>43</t>
  </si>
  <si>
    <t>Музыка</t>
  </si>
  <si>
    <t>Башталгыч класс</t>
  </si>
  <si>
    <t>Дене тарбия</t>
  </si>
  <si>
    <t>У.М.Маамбетова</t>
  </si>
  <si>
    <t>Кырг.тил, сурот, технолог.</t>
  </si>
  <si>
    <t>Башт. Класс</t>
  </si>
  <si>
    <t>Кыргыз тили, адабияты</t>
  </si>
  <si>
    <t>Жогорку</t>
  </si>
  <si>
    <t xml:space="preserve">Кыргыз тил, адабият, </t>
  </si>
  <si>
    <t>Чет.тили        5-11 кл</t>
  </si>
  <si>
    <t>_____________Н.К.Жоошбаев</t>
  </si>
  <si>
    <t>Физика, математика, информат.</t>
  </si>
  <si>
    <t>Каденова Анара Осконбековна</t>
  </si>
  <si>
    <t>Чет тили</t>
  </si>
  <si>
    <t>Техналогия, Сурот</t>
  </si>
  <si>
    <t>Информат, математика</t>
  </si>
  <si>
    <t>Математика, геометрия, Информат.</t>
  </si>
  <si>
    <t>Ормонбекова Айгул Калыбековна</t>
  </si>
  <si>
    <t>Уманалиева Малика Юлдашевна</t>
  </si>
  <si>
    <t xml:space="preserve">География, тарых </t>
  </si>
  <si>
    <t>Башт.класс        0 класс</t>
  </si>
  <si>
    <t>Кружок (кол онорчулук)</t>
  </si>
  <si>
    <t>О.Ж.Ажыбеков</t>
  </si>
  <si>
    <t>Суйуналиева Нургул Жанышбековна</t>
  </si>
  <si>
    <t>На дому</t>
  </si>
  <si>
    <t>На дому 1-4-кл.</t>
  </si>
  <si>
    <t>Башт.     класс</t>
  </si>
  <si>
    <t>Анашова     Улара Аскарбековна</t>
  </si>
  <si>
    <t xml:space="preserve">                                      за ноябрь месяц 2022 - 2023 учебный год </t>
  </si>
  <si>
    <t xml:space="preserve">Темиркулова Зуура  Муратбековна </t>
  </si>
  <si>
    <t>Тарых, адам ж-а коом, Д.О.Т.</t>
  </si>
  <si>
    <t>Образование</t>
  </si>
  <si>
    <t>Дене тарбия нач.кл</t>
  </si>
  <si>
    <t>ст.класс</t>
  </si>
  <si>
    <t>кружок</t>
  </si>
  <si>
    <t>Вакансия</t>
  </si>
  <si>
    <t>Канаева      Айпери Жандарбековна</t>
  </si>
  <si>
    <t>диндеди онуктуруу тарыхы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</si>
</sst>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0" xfId="0" applyFont="1" applyFill="1"/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2" fontId="3" fillId="2" borderId="0" xfId="0" applyNumberFormat="1" applyFont="1" applyFill="1" applyBorder="1"/>
    <xf numFmtId="1" fontId="3" fillId="2" borderId="0" xfId="0" applyNumberFormat="1" applyFont="1" applyFill="1" applyBorder="1"/>
    <xf numFmtId="49" fontId="0" fillId="2" borderId="0" xfId="0" applyNumberFormat="1" applyFill="1"/>
    <xf numFmtId="0" fontId="3" fillId="2" borderId="0" xfId="0" applyFont="1" applyFill="1" applyAlignment="1">
      <alignment horizontal="left"/>
    </xf>
    <xf numFmtId="0" fontId="4" fillId="0" borderId="0" xfId="0" applyFont="1"/>
    <xf numFmtId="1" fontId="3" fillId="2" borderId="1" xfId="0" applyNumberFormat="1" applyFont="1" applyFill="1" applyBorder="1"/>
    <xf numFmtId="49" fontId="3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Alignment="1"/>
    <xf numFmtId="0" fontId="0" fillId="2" borderId="0" xfId="0" applyFont="1" applyFill="1"/>
    <xf numFmtId="49" fontId="3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textRotation="91" wrapText="1"/>
    </xf>
    <xf numFmtId="49" fontId="2" fillId="2" borderId="6" xfId="0" applyNumberFormat="1" applyFont="1" applyFill="1" applyBorder="1" applyAlignment="1">
      <alignment horizontal="center" vertical="center" textRotation="91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1"/>
    </xf>
    <xf numFmtId="0" fontId="2" fillId="2" borderId="6" xfId="0" applyFont="1" applyFill="1" applyBorder="1" applyAlignment="1">
      <alignment horizontal="center" vertical="center" textRotation="9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topLeftCell="D25" zoomScale="90" zoomScaleNormal="90" workbookViewId="0">
      <selection activeCell="D59" sqref="D59:E60"/>
    </sheetView>
  </sheetViews>
  <sheetFormatPr defaultColWidth="9.14453125" defaultRowHeight="15" x14ac:dyDescent="0.2"/>
  <cols>
    <col min="1" max="1" width="4.16796875" style="27" customWidth="1"/>
    <col min="2" max="2" width="17.62109375" style="6" customWidth="1"/>
    <col min="3" max="3" width="12.5078125" style="6" customWidth="1"/>
    <col min="4" max="4" width="9.28125" style="6" customWidth="1"/>
    <col min="5" max="5" width="5.109375" style="6" customWidth="1"/>
    <col min="6" max="6" width="6.58984375" style="6" customWidth="1"/>
    <col min="7" max="7" width="6.05078125" style="6" customWidth="1"/>
    <col min="8" max="8" width="9.4140625" style="6" customWidth="1"/>
    <col min="9" max="9" width="4.83984375" style="6" customWidth="1"/>
    <col min="10" max="10" width="4.4375" style="6" customWidth="1"/>
    <col min="11" max="12" width="3.8984375" style="6" customWidth="1"/>
    <col min="13" max="13" width="4.5703125" style="6" customWidth="1"/>
    <col min="14" max="14" width="9.4140625" style="6" customWidth="1"/>
    <col min="15" max="15" width="9.68359375" style="6" customWidth="1"/>
    <col min="16" max="16" width="9.55078125" style="6" customWidth="1"/>
    <col min="17" max="17" width="10.0859375" style="6" customWidth="1"/>
    <col min="18" max="18" width="9.68359375" style="6" customWidth="1"/>
    <col min="19" max="19" width="6.3203125" style="6" customWidth="1"/>
    <col min="20" max="20" width="9.14453125" style="6" customWidth="1"/>
    <col min="21" max="21" width="9.4140625" style="6" customWidth="1"/>
    <col min="22" max="22" width="10.35546875" style="6" customWidth="1"/>
    <col min="23" max="24" width="5.24609375" style="6" hidden="1" customWidth="1"/>
    <col min="25" max="25" width="0.1328125" style="6" hidden="1" customWidth="1"/>
    <col min="26" max="26" width="9.4140625" style="6" hidden="1" customWidth="1"/>
    <col min="27" max="27" width="11.703125" style="6" hidden="1" customWidth="1"/>
    <col min="28" max="28" width="9.68359375" style="6" customWidth="1"/>
    <col min="29" max="29" width="0.1328125" style="6" hidden="1" customWidth="1"/>
    <col min="30" max="30" width="13.44921875" style="6" customWidth="1"/>
    <col min="31" max="16384" width="9.14453125" style="6"/>
  </cols>
  <sheetData>
    <row r="1" spans="1:30" customFormat="1" x14ac:dyDescent="0.2">
      <c r="B1" s="72" t="s">
        <v>38</v>
      </c>
      <c r="C1" s="72"/>
      <c r="H1" s="6"/>
      <c r="I1" s="1"/>
      <c r="J1" s="1"/>
      <c r="V1" s="1" t="s">
        <v>39</v>
      </c>
    </row>
    <row r="2" spans="1:30" customFormat="1" x14ac:dyDescent="0.2">
      <c r="B2" s="72" t="s">
        <v>155</v>
      </c>
      <c r="C2" s="72"/>
      <c r="F2" s="6"/>
      <c r="G2" s="6"/>
      <c r="U2" s="1" t="s">
        <v>149</v>
      </c>
    </row>
    <row r="3" spans="1:30" customFormat="1" x14ac:dyDescent="0.2">
      <c r="B3" s="1" t="s">
        <v>178</v>
      </c>
      <c r="G3" s="6"/>
      <c r="H3" s="1"/>
      <c r="I3" s="1"/>
      <c r="J3" s="1"/>
      <c r="U3" s="29" t="s">
        <v>70</v>
      </c>
    </row>
    <row r="4" spans="1:30" x14ac:dyDescent="0.2">
      <c r="A4" s="4"/>
      <c r="B4" s="5"/>
      <c r="C4" s="5"/>
      <c r="D4" s="64" t="s">
        <v>23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4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">
      <c r="A5" s="4"/>
      <c r="B5" s="5"/>
      <c r="C5" s="5" t="s">
        <v>24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x14ac:dyDescent="0.2">
      <c r="A6" s="4"/>
      <c r="B6" s="5"/>
      <c r="C6" s="5"/>
      <c r="D6" s="5" t="s">
        <v>156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2">
      <c r="A8" s="4"/>
      <c r="B8" s="5"/>
      <c r="C8" s="5" t="s">
        <v>78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x14ac:dyDescent="0.2">
      <c r="A9" s="4"/>
      <c r="B9" s="5"/>
      <c r="C9" s="5" t="s">
        <v>150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45" customHeight="1" x14ac:dyDescent="0.2">
      <c r="A10" s="75" t="s">
        <v>27</v>
      </c>
      <c r="B10" s="85" t="s">
        <v>0</v>
      </c>
      <c r="C10" s="68" t="s">
        <v>25</v>
      </c>
      <c r="D10" s="61" t="s">
        <v>26</v>
      </c>
      <c r="E10" s="68" t="s">
        <v>1</v>
      </c>
      <c r="F10" s="68" t="s">
        <v>2</v>
      </c>
      <c r="G10" s="68" t="s">
        <v>3</v>
      </c>
      <c r="H10" s="68" t="s">
        <v>4</v>
      </c>
      <c r="I10" s="65" t="s">
        <v>5</v>
      </c>
      <c r="J10" s="66"/>
      <c r="K10" s="66"/>
      <c r="L10" s="66"/>
      <c r="M10" s="67"/>
      <c r="N10" s="53" t="s">
        <v>6</v>
      </c>
      <c r="O10" s="54"/>
      <c r="P10" s="54"/>
      <c r="Q10" s="55"/>
      <c r="R10" s="61" t="s">
        <v>28</v>
      </c>
      <c r="S10" s="82" t="s">
        <v>18</v>
      </c>
      <c r="T10" s="83"/>
      <c r="U10" s="83"/>
      <c r="V10" s="83"/>
      <c r="W10" s="83"/>
      <c r="X10" s="83"/>
      <c r="Y10" s="83"/>
      <c r="Z10" s="84"/>
      <c r="AA10" s="68" t="s">
        <v>19</v>
      </c>
      <c r="AB10" s="61" t="s">
        <v>20</v>
      </c>
      <c r="AC10" s="61" t="s">
        <v>21</v>
      </c>
      <c r="AD10" s="61" t="s">
        <v>22</v>
      </c>
    </row>
    <row r="11" spans="1:30" ht="89.25" customHeight="1" x14ac:dyDescent="0.2">
      <c r="A11" s="76"/>
      <c r="B11" s="86"/>
      <c r="C11" s="69"/>
      <c r="D11" s="62"/>
      <c r="E11" s="69"/>
      <c r="F11" s="69"/>
      <c r="G11" s="69"/>
      <c r="H11" s="69"/>
      <c r="I11" s="7" t="s">
        <v>7</v>
      </c>
      <c r="J11" s="7" t="s">
        <v>8</v>
      </c>
      <c r="K11" s="7" t="s">
        <v>9</v>
      </c>
      <c r="L11" s="7" t="s">
        <v>193</v>
      </c>
      <c r="M11" s="7" t="s">
        <v>10</v>
      </c>
      <c r="N11" s="7" t="s">
        <v>7</v>
      </c>
      <c r="O11" s="7" t="s">
        <v>8</v>
      </c>
      <c r="P11" s="7" t="s">
        <v>9</v>
      </c>
      <c r="Q11" s="7" t="s">
        <v>192</v>
      </c>
      <c r="R11" s="62"/>
      <c r="S11" s="8" t="s">
        <v>11</v>
      </c>
      <c r="T11" s="8" t="s">
        <v>12</v>
      </c>
      <c r="U11" s="8" t="s">
        <v>13</v>
      </c>
      <c r="V11" s="8" t="s">
        <v>148</v>
      </c>
      <c r="W11" s="7" t="s">
        <v>14</v>
      </c>
      <c r="X11" s="7" t="s">
        <v>15</v>
      </c>
      <c r="Y11" s="7" t="s">
        <v>16</v>
      </c>
      <c r="Z11" s="7" t="s">
        <v>17</v>
      </c>
      <c r="AA11" s="69"/>
      <c r="AB11" s="62"/>
      <c r="AC11" s="62"/>
      <c r="AD11" s="62"/>
    </row>
    <row r="12" spans="1:30" x14ac:dyDescent="0.2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  <c r="R12" s="10">
        <v>18</v>
      </c>
      <c r="S12" s="10">
        <v>19</v>
      </c>
      <c r="T12" s="10">
        <v>20</v>
      </c>
      <c r="U12" s="10">
        <v>21</v>
      </c>
      <c r="V12" s="10">
        <v>22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23</v>
      </c>
      <c r="AC12" s="10">
        <v>28</v>
      </c>
      <c r="AD12" s="10">
        <v>24</v>
      </c>
    </row>
    <row r="13" spans="1:30" ht="30" customHeight="1" x14ac:dyDescent="0.2">
      <c r="A13" s="9" t="s">
        <v>79</v>
      </c>
      <c r="B13" s="15" t="s">
        <v>80</v>
      </c>
      <c r="C13" s="3" t="s">
        <v>81</v>
      </c>
      <c r="D13" s="3" t="s">
        <v>82</v>
      </c>
      <c r="E13" s="11">
        <v>16</v>
      </c>
      <c r="F13" s="11">
        <v>2.722</v>
      </c>
      <c r="G13" s="11">
        <v>7040</v>
      </c>
      <c r="H13" s="11">
        <f>G13*F13</f>
        <v>19162.88</v>
      </c>
      <c r="I13" s="11"/>
      <c r="J13" s="11"/>
      <c r="K13" s="11">
        <v>9</v>
      </c>
      <c r="L13" s="11"/>
      <c r="M13" s="11">
        <f>I13+J13+K13</f>
        <v>9</v>
      </c>
      <c r="N13" s="11">
        <f>H13/16*I13</f>
        <v>0</v>
      </c>
      <c r="O13" s="11">
        <f t="shared" ref="O13:O44" si="0">H13/18*J13</f>
        <v>0</v>
      </c>
      <c r="P13" s="11">
        <f t="shared" ref="P13:P59" si="1">H13/18*K13</f>
        <v>9581.44</v>
      </c>
      <c r="Q13" s="11"/>
      <c r="R13" s="12">
        <f>N13+O13+P13</f>
        <v>9581.44</v>
      </c>
      <c r="S13" s="11"/>
      <c r="T13" s="11"/>
      <c r="U13" s="11"/>
      <c r="V13" s="11"/>
      <c r="W13" s="11"/>
      <c r="X13" s="11"/>
      <c r="Y13" s="11"/>
      <c r="Z13" s="11"/>
      <c r="AA13" s="11"/>
      <c r="AB13" s="12">
        <f>R13+S13+T13+U13+V13</f>
        <v>9581.44</v>
      </c>
      <c r="AC13" s="11"/>
      <c r="AD13" s="13">
        <f>AB13</f>
        <v>9581.44</v>
      </c>
    </row>
    <row r="14" spans="1:30" ht="27.75" x14ac:dyDescent="0.2">
      <c r="A14" s="9" t="s">
        <v>83</v>
      </c>
      <c r="B14" s="3" t="s">
        <v>75</v>
      </c>
      <c r="C14" s="3" t="s">
        <v>147</v>
      </c>
      <c r="D14" s="3" t="s">
        <v>82</v>
      </c>
      <c r="E14" s="11">
        <v>9</v>
      </c>
      <c r="F14" s="11">
        <v>2.722</v>
      </c>
      <c r="G14" s="11">
        <v>7040</v>
      </c>
      <c r="H14" s="11">
        <f>G14*F14</f>
        <v>19162.88</v>
      </c>
      <c r="I14" s="11">
        <v>9</v>
      </c>
      <c r="J14" s="11"/>
      <c r="K14" s="11"/>
      <c r="L14" s="11"/>
      <c r="M14" s="11">
        <f>I14+J14+K14</f>
        <v>9</v>
      </c>
      <c r="N14" s="11">
        <f>H14/16*I14</f>
        <v>10779.12</v>
      </c>
      <c r="O14" s="11">
        <f t="shared" si="0"/>
        <v>0</v>
      </c>
      <c r="P14" s="11">
        <f t="shared" si="1"/>
        <v>0</v>
      </c>
      <c r="Q14" s="11"/>
      <c r="R14" s="12">
        <f>N14+O14+P14</f>
        <v>10779.12</v>
      </c>
      <c r="S14" s="11"/>
      <c r="T14" s="11">
        <f>2700/16*3</f>
        <v>506.25</v>
      </c>
      <c r="U14" s="11"/>
      <c r="V14" s="11"/>
      <c r="W14" s="11"/>
      <c r="X14" s="11"/>
      <c r="Y14" s="11"/>
      <c r="Z14" s="11"/>
      <c r="AA14" s="11"/>
      <c r="AB14" s="12">
        <f t="shared" ref="AB14:AB20" si="2">R14+S14+T14+U14+V14</f>
        <v>11285.37</v>
      </c>
      <c r="AC14" s="11"/>
      <c r="AD14" s="13">
        <f t="shared" ref="AD14:AD16" si="3">AB14</f>
        <v>11285.37</v>
      </c>
    </row>
    <row r="15" spans="1:30" ht="48.75" customHeight="1" x14ac:dyDescent="0.2">
      <c r="A15" s="9" t="s">
        <v>85</v>
      </c>
      <c r="B15" s="15" t="s">
        <v>76</v>
      </c>
      <c r="C15" s="3" t="s">
        <v>172</v>
      </c>
      <c r="D15" s="3" t="s">
        <v>111</v>
      </c>
      <c r="E15" s="2">
        <v>22</v>
      </c>
      <c r="F15" s="2">
        <v>2.2679999999999998</v>
      </c>
      <c r="G15" s="2">
        <v>7040</v>
      </c>
      <c r="H15" s="2">
        <f t="shared" ref="H15" si="4">G15*F15</f>
        <v>15966.72</v>
      </c>
      <c r="I15" s="2"/>
      <c r="J15" s="2">
        <v>9</v>
      </c>
      <c r="K15" s="2"/>
      <c r="L15" s="2"/>
      <c r="M15" s="2">
        <f>I15+J15+K15</f>
        <v>9</v>
      </c>
      <c r="N15" s="2">
        <f t="shared" ref="N15" si="5">H15/16*I15</f>
        <v>0</v>
      </c>
      <c r="O15" s="2">
        <f t="shared" si="0"/>
        <v>7983.36</v>
      </c>
      <c r="P15" s="2">
        <f t="shared" si="1"/>
        <v>0</v>
      </c>
      <c r="Q15" s="2"/>
      <c r="R15" s="12">
        <f>N15+O15+P15</f>
        <v>7983.36</v>
      </c>
      <c r="S15" s="2"/>
      <c r="T15" s="2">
        <f>2700/18*4</f>
        <v>600</v>
      </c>
      <c r="U15" s="2"/>
      <c r="V15" s="2"/>
      <c r="W15" s="2"/>
      <c r="X15" s="2"/>
      <c r="Y15" s="2"/>
      <c r="Z15" s="2"/>
      <c r="AA15" s="2"/>
      <c r="AB15" s="12">
        <f t="shared" si="2"/>
        <v>8583.36</v>
      </c>
      <c r="AC15" s="11"/>
      <c r="AD15" s="13">
        <f t="shared" si="3"/>
        <v>8583.36</v>
      </c>
    </row>
    <row r="16" spans="1:30" ht="41.25" x14ac:dyDescent="0.2">
      <c r="A16" s="9" t="s">
        <v>88</v>
      </c>
      <c r="B16" s="15" t="s">
        <v>77</v>
      </c>
      <c r="C16" s="3" t="s">
        <v>89</v>
      </c>
      <c r="D16" s="3" t="s">
        <v>90</v>
      </c>
      <c r="E16" s="2">
        <v>45</v>
      </c>
      <c r="F16" s="11">
        <v>2.177</v>
      </c>
      <c r="G16" s="11">
        <v>7040</v>
      </c>
      <c r="H16" s="11">
        <f t="shared" ref="H16:H64" si="6">G16*F16</f>
        <v>15326.08</v>
      </c>
      <c r="I16" s="11">
        <v>6</v>
      </c>
      <c r="J16" s="11"/>
      <c r="K16" s="11"/>
      <c r="L16" s="11">
        <v>3</v>
      </c>
      <c r="M16" s="11">
        <f>I16+J16+K16+L16</f>
        <v>9</v>
      </c>
      <c r="N16" s="11">
        <f t="shared" ref="N16" si="7">H16/16*I16</f>
        <v>5747.28</v>
      </c>
      <c r="O16" s="11">
        <f t="shared" si="0"/>
        <v>0</v>
      </c>
      <c r="P16" s="11">
        <f t="shared" si="1"/>
        <v>0</v>
      </c>
      <c r="Q16" s="11">
        <f>H16/16*L16</f>
        <v>2873.64</v>
      </c>
      <c r="R16" s="12">
        <f>N16+O16+P16+Q16</f>
        <v>8620.92</v>
      </c>
      <c r="S16" s="11"/>
      <c r="T16" s="11"/>
      <c r="U16" s="11"/>
      <c r="V16" s="11"/>
      <c r="W16" s="11"/>
      <c r="X16" s="11"/>
      <c r="Y16" s="11"/>
      <c r="Z16" s="11"/>
      <c r="AA16" s="11"/>
      <c r="AB16" s="12">
        <f>N16+Q16</f>
        <v>8620.92</v>
      </c>
      <c r="AC16" s="11"/>
      <c r="AD16" s="13">
        <f t="shared" si="3"/>
        <v>8620.92</v>
      </c>
    </row>
    <row r="17" spans="1:30" ht="30" customHeight="1" x14ac:dyDescent="0.2">
      <c r="A17" s="70" t="s">
        <v>91</v>
      </c>
      <c r="B17" s="73" t="s">
        <v>92</v>
      </c>
      <c r="C17" s="3" t="s">
        <v>173</v>
      </c>
      <c r="D17" s="49" t="s">
        <v>82</v>
      </c>
      <c r="E17" s="51">
        <v>23</v>
      </c>
      <c r="F17" s="11">
        <v>2.722</v>
      </c>
      <c r="G17" s="11">
        <v>7040</v>
      </c>
      <c r="H17" s="11">
        <f>G17*F17</f>
        <v>19162.88</v>
      </c>
      <c r="I17" s="11">
        <v>16</v>
      </c>
      <c r="J17" s="11"/>
      <c r="K17" s="11"/>
      <c r="L17" s="11"/>
      <c r="M17" s="11">
        <f t="shared" ref="M17:M64" si="8">I17+J17+K17</f>
        <v>16</v>
      </c>
      <c r="N17" s="11">
        <f>H17/16*I17</f>
        <v>19162.88</v>
      </c>
      <c r="O17" s="11">
        <f t="shared" si="0"/>
        <v>0</v>
      </c>
      <c r="P17" s="11">
        <f t="shared" si="1"/>
        <v>0</v>
      </c>
      <c r="Q17" s="11"/>
      <c r="R17" s="12">
        <f t="shared" ref="R17:R31" si="9">N17+O17+P17</f>
        <v>19162.88</v>
      </c>
      <c r="S17" s="11">
        <v>1400</v>
      </c>
      <c r="T17" s="11">
        <f>2700/16*8</f>
        <v>1350</v>
      </c>
      <c r="U17" s="12">
        <f>H17*30%</f>
        <v>5748.8640000000005</v>
      </c>
      <c r="V17" s="11"/>
      <c r="W17" s="11"/>
      <c r="X17" s="11"/>
      <c r="Y17" s="11"/>
      <c r="Z17" s="11"/>
      <c r="AA17" s="11"/>
      <c r="AB17" s="12">
        <f>R17+S17+T17+U17+V17</f>
        <v>27661.744000000002</v>
      </c>
      <c r="AC17" s="11"/>
      <c r="AD17" s="56">
        <f>AB17+AB18</f>
        <v>33871.024000000005</v>
      </c>
    </row>
    <row r="18" spans="1:30" ht="23.25" customHeight="1" x14ac:dyDescent="0.2">
      <c r="A18" s="71"/>
      <c r="B18" s="74"/>
      <c r="C18" s="3" t="s">
        <v>168</v>
      </c>
      <c r="D18" s="78"/>
      <c r="E18" s="60"/>
      <c r="F18" s="11">
        <v>2.2679999999999998</v>
      </c>
      <c r="G18" s="11">
        <v>7040</v>
      </c>
      <c r="H18" s="11">
        <f>G18*F18</f>
        <v>15966.72</v>
      </c>
      <c r="I18" s="11"/>
      <c r="J18" s="11">
        <v>7</v>
      </c>
      <c r="K18" s="11"/>
      <c r="L18" s="11"/>
      <c r="M18" s="11">
        <f t="shared" si="8"/>
        <v>7</v>
      </c>
      <c r="N18" s="11">
        <f>H18/16*I18</f>
        <v>0</v>
      </c>
      <c r="O18" s="11">
        <f t="shared" si="0"/>
        <v>6209.28</v>
      </c>
      <c r="P18" s="11">
        <f t="shared" si="1"/>
        <v>0</v>
      </c>
      <c r="Q18" s="11"/>
      <c r="R18" s="12">
        <f t="shared" si="9"/>
        <v>6209.28</v>
      </c>
      <c r="S18" s="11"/>
      <c r="T18" s="11"/>
      <c r="U18" s="11"/>
      <c r="V18" s="11"/>
      <c r="W18" s="11"/>
      <c r="X18" s="11"/>
      <c r="Y18" s="11"/>
      <c r="Z18" s="11"/>
      <c r="AA18" s="11"/>
      <c r="AB18" s="12">
        <f t="shared" si="2"/>
        <v>6209.28</v>
      </c>
      <c r="AC18" s="11"/>
      <c r="AD18" s="57"/>
    </row>
    <row r="19" spans="1:30" ht="41.25" x14ac:dyDescent="0.2">
      <c r="A19" s="9" t="s">
        <v>40</v>
      </c>
      <c r="B19" s="15" t="s">
        <v>158</v>
      </c>
      <c r="C19" s="3" t="s">
        <v>174</v>
      </c>
      <c r="D19" s="3" t="s">
        <v>82</v>
      </c>
      <c r="E19" s="2">
        <v>18</v>
      </c>
      <c r="F19" s="11">
        <v>2.2679999999999998</v>
      </c>
      <c r="G19" s="11">
        <v>7040</v>
      </c>
      <c r="H19" s="11">
        <f t="shared" ref="H19:H20" si="10">G19*F19</f>
        <v>15966.72</v>
      </c>
      <c r="I19" s="11"/>
      <c r="J19" s="11">
        <v>18</v>
      </c>
      <c r="K19" s="11"/>
      <c r="L19" s="11"/>
      <c r="M19" s="11">
        <f t="shared" si="8"/>
        <v>18</v>
      </c>
      <c r="N19" s="11">
        <f>H19/16*I19</f>
        <v>0</v>
      </c>
      <c r="O19" s="11">
        <f t="shared" si="0"/>
        <v>15966.72</v>
      </c>
      <c r="P19" s="11">
        <f t="shared" si="1"/>
        <v>0</v>
      </c>
      <c r="Q19" s="11"/>
      <c r="R19" s="12">
        <f t="shared" si="9"/>
        <v>15966.72</v>
      </c>
      <c r="S19" s="11">
        <v>1400</v>
      </c>
      <c r="T19" s="11">
        <f>2700/18*10</f>
        <v>1500</v>
      </c>
      <c r="U19" s="12">
        <f>H19*30%</f>
        <v>4790.0159999999996</v>
      </c>
      <c r="V19" s="11"/>
      <c r="W19" s="11"/>
      <c r="X19" s="11"/>
      <c r="Y19" s="11"/>
      <c r="Z19" s="11"/>
      <c r="AA19" s="11"/>
      <c r="AB19" s="12">
        <f t="shared" si="2"/>
        <v>23656.736000000001</v>
      </c>
      <c r="AC19" s="11"/>
      <c r="AD19" s="13">
        <f t="shared" ref="AD19:AD20" si="11">AB19</f>
        <v>23656.736000000001</v>
      </c>
    </row>
    <row r="20" spans="1:30" ht="34.5" customHeight="1" x14ac:dyDescent="0.2">
      <c r="A20" s="9" t="s">
        <v>29</v>
      </c>
      <c r="B20" s="15" t="s">
        <v>141</v>
      </c>
      <c r="C20" s="3" t="s">
        <v>84</v>
      </c>
      <c r="D20" s="3" t="s">
        <v>142</v>
      </c>
      <c r="E20" s="2">
        <v>6</v>
      </c>
      <c r="F20" s="2">
        <v>2.4510000000000001</v>
      </c>
      <c r="G20" s="2">
        <v>7040</v>
      </c>
      <c r="H20" s="2">
        <f t="shared" si="10"/>
        <v>17255.04</v>
      </c>
      <c r="I20" s="2">
        <v>16</v>
      </c>
      <c r="J20" s="2"/>
      <c r="K20" s="2"/>
      <c r="L20" s="2"/>
      <c r="M20" s="2">
        <f t="shared" si="8"/>
        <v>16</v>
      </c>
      <c r="N20" s="2">
        <f t="shared" ref="N20" si="12">H20/16*I20</f>
        <v>17255.04</v>
      </c>
      <c r="O20" s="2">
        <f t="shared" si="0"/>
        <v>0</v>
      </c>
      <c r="P20" s="2">
        <f t="shared" si="1"/>
        <v>0</v>
      </c>
      <c r="Q20" s="2"/>
      <c r="R20" s="12">
        <f t="shared" si="9"/>
        <v>17255.04</v>
      </c>
      <c r="S20" s="2">
        <v>1400</v>
      </c>
      <c r="T20" s="11">
        <f>2700/16*7</f>
        <v>1181.25</v>
      </c>
      <c r="U20" s="12">
        <f>H20*10%</f>
        <v>1725.5040000000001</v>
      </c>
      <c r="V20" s="11"/>
      <c r="W20" s="2"/>
      <c r="X20" s="2"/>
      <c r="Y20" s="2"/>
      <c r="Z20" s="2"/>
      <c r="AA20" s="2"/>
      <c r="AB20" s="12">
        <f t="shared" si="2"/>
        <v>21561.794000000002</v>
      </c>
      <c r="AC20" s="2"/>
      <c r="AD20" s="13">
        <f t="shared" si="11"/>
        <v>21561.794000000002</v>
      </c>
    </row>
    <row r="21" spans="1:30" ht="34.5" customHeight="1" x14ac:dyDescent="0.2">
      <c r="A21" s="9" t="s">
        <v>30</v>
      </c>
      <c r="B21" s="15" t="s">
        <v>157</v>
      </c>
      <c r="C21" s="3" t="s">
        <v>144</v>
      </c>
      <c r="D21" s="3" t="s">
        <v>175</v>
      </c>
      <c r="E21" s="2">
        <v>13</v>
      </c>
      <c r="F21" s="2">
        <v>2.2679999999999998</v>
      </c>
      <c r="G21" s="2">
        <v>7040</v>
      </c>
      <c r="H21" s="2">
        <f t="shared" ref="H21" si="13">G21*F21</f>
        <v>15966.72</v>
      </c>
      <c r="I21" s="2"/>
      <c r="J21" s="2">
        <v>16</v>
      </c>
      <c r="K21" s="2">
        <v>2</v>
      </c>
      <c r="L21" s="2"/>
      <c r="M21" s="2">
        <f t="shared" si="8"/>
        <v>18</v>
      </c>
      <c r="N21" s="2">
        <f t="shared" ref="N21" si="14">H21/16*I21</f>
        <v>0</v>
      </c>
      <c r="O21" s="2">
        <f t="shared" si="0"/>
        <v>14192.64</v>
      </c>
      <c r="P21" s="2">
        <f t="shared" si="1"/>
        <v>1774.08</v>
      </c>
      <c r="Q21" s="2"/>
      <c r="R21" s="12">
        <f t="shared" si="9"/>
        <v>15966.72</v>
      </c>
      <c r="S21" s="2">
        <v>1400</v>
      </c>
      <c r="T21" s="11"/>
      <c r="U21" s="12">
        <f>H21*30%</f>
        <v>4790.0159999999996</v>
      </c>
      <c r="V21" s="11">
        <f>(1.886*7040)/20*2</f>
        <v>1327.7439999999999</v>
      </c>
      <c r="W21" s="2"/>
      <c r="X21" s="2"/>
      <c r="Y21" s="2"/>
      <c r="Z21" s="2"/>
      <c r="AA21" s="2"/>
      <c r="AB21" s="12">
        <f t="shared" ref="AB21" si="15">R21+S21+T21+U21+V21</f>
        <v>23484.48</v>
      </c>
      <c r="AC21" s="2"/>
      <c r="AD21" s="13">
        <f t="shared" ref="AD21" si="16">AB21</f>
        <v>23484.48</v>
      </c>
    </row>
    <row r="22" spans="1:30" ht="27.75" x14ac:dyDescent="0.2">
      <c r="A22" s="9" t="s">
        <v>31</v>
      </c>
      <c r="B22" s="15" t="s">
        <v>93</v>
      </c>
      <c r="C22" s="3" t="s">
        <v>94</v>
      </c>
      <c r="D22" s="3" t="s">
        <v>82</v>
      </c>
      <c r="E22" s="2">
        <v>9</v>
      </c>
      <c r="F22" s="11">
        <v>2.2679999999999998</v>
      </c>
      <c r="G22" s="11">
        <v>7040</v>
      </c>
      <c r="H22" s="11">
        <f t="shared" ref="H22:H24" si="17">G22*F22</f>
        <v>15966.72</v>
      </c>
      <c r="I22" s="11"/>
      <c r="J22" s="11">
        <v>19</v>
      </c>
      <c r="K22" s="11"/>
      <c r="L22" s="11"/>
      <c r="M22" s="11">
        <f t="shared" si="8"/>
        <v>19</v>
      </c>
      <c r="N22" s="11">
        <f>H22/16*I22</f>
        <v>0</v>
      </c>
      <c r="O22" s="11">
        <f t="shared" si="0"/>
        <v>16853.759999999998</v>
      </c>
      <c r="P22" s="11">
        <f t="shared" si="1"/>
        <v>0</v>
      </c>
      <c r="Q22" s="11"/>
      <c r="R22" s="12">
        <f t="shared" si="9"/>
        <v>16853.759999999998</v>
      </c>
      <c r="S22" s="11">
        <v>1400</v>
      </c>
      <c r="T22" s="11"/>
      <c r="U22" s="12">
        <f>H22*20%</f>
        <v>3193.3440000000001</v>
      </c>
      <c r="V22" s="11"/>
      <c r="W22" s="11"/>
      <c r="X22" s="11"/>
      <c r="Y22" s="11"/>
      <c r="Z22" s="11"/>
      <c r="AA22" s="11"/>
      <c r="AB22" s="12">
        <f t="shared" ref="AB22" si="18">R22+S22+T22+U22+V22</f>
        <v>21447.103999999999</v>
      </c>
      <c r="AC22" s="2"/>
      <c r="AD22" s="13">
        <f t="shared" ref="AD22" si="19">AB22</f>
        <v>21447.103999999999</v>
      </c>
    </row>
    <row r="23" spans="1:30" ht="46.5" customHeight="1" x14ac:dyDescent="0.2">
      <c r="A23" s="9" t="s">
        <v>32</v>
      </c>
      <c r="B23" s="15" t="s">
        <v>159</v>
      </c>
      <c r="C23" s="3" t="s">
        <v>169</v>
      </c>
      <c r="D23" s="3" t="s">
        <v>82</v>
      </c>
      <c r="E23" s="2">
        <v>8</v>
      </c>
      <c r="F23" s="11">
        <v>2.722</v>
      </c>
      <c r="G23" s="11">
        <v>7040</v>
      </c>
      <c r="H23" s="11">
        <f t="shared" si="17"/>
        <v>19162.88</v>
      </c>
      <c r="I23" s="11">
        <v>16</v>
      </c>
      <c r="J23" s="11"/>
      <c r="K23" s="11"/>
      <c r="L23" s="11"/>
      <c r="M23" s="11">
        <f t="shared" si="8"/>
        <v>16</v>
      </c>
      <c r="N23" s="11">
        <f t="shared" ref="N23:N24" si="20">H23/16*I23</f>
        <v>19162.88</v>
      </c>
      <c r="O23" s="11">
        <f t="shared" si="0"/>
        <v>0</v>
      </c>
      <c r="P23" s="11">
        <f t="shared" si="1"/>
        <v>0</v>
      </c>
      <c r="Q23" s="11"/>
      <c r="R23" s="12">
        <f t="shared" si="9"/>
        <v>19162.88</v>
      </c>
      <c r="S23" s="11">
        <v>1400</v>
      </c>
      <c r="T23" s="11">
        <f>2700/16*7</f>
        <v>1181.25</v>
      </c>
      <c r="U23" s="12">
        <f>H23*20%</f>
        <v>3832.5760000000005</v>
      </c>
      <c r="V23" s="11"/>
      <c r="W23" s="11"/>
      <c r="X23" s="11"/>
      <c r="Y23" s="11"/>
      <c r="Z23" s="11"/>
      <c r="AA23" s="11"/>
      <c r="AB23" s="12">
        <f t="shared" ref="AB23:AB29" si="21">R23+S23+T23+U23+V23</f>
        <v>25576.706000000002</v>
      </c>
      <c r="AC23" s="2"/>
      <c r="AD23" s="13">
        <f t="shared" ref="AD23:AD29" si="22">AB23</f>
        <v>25576.706000000002</v>
      </c>
    </row>
    <row r="24" spans="1:30" s="35" customFormat="1" ht="59.25" customHeight="1" x14ac:dyDescent="0.2">
      <c r="A24" s="9" t="s">
        <v>42</v>
      </c>
      <c r="B24" s="15" t="s">
        <v>160</v>
      </c>
      <c r="C24" s="3" t="s">
        <v>169</v>
      </c>
      <c r="D24" s="3" t="s">
        <v>130</v>
      </c>
      <c r="E24" s="15">
        <v>5</v>
      </c>
      <c r="F24" s="2">
        <v>2.177</v>
      </c>
      <c r="G24" s="2">
        <v>7040</v>
      </c>
      <c r="H24" s="2">
        <f t="shared" si="17"/>
        <v>15326.08</v>
      </c>
      <c r="I24" s="2">
        <v>16</v>
      </c>
      <c r="J24" s="2"/>
      <c r="K24" s="2"/>
      <c r="L24" s="2"/>
      <c r="M24" s="2">
        <f t="shared" si="8"/>
        <v>16</v>
      </c>
      <c r="N24" s="2">
        <f t="shared" si="20"/>
        <v>15326.08</v>
      </c>
      <c r="O24" s="2">
        <f t="shared" si="0"/>
        <v>0</v>
      </c>
      <c r="P24" s="2">
        <f t="shared" si="1"/>
        <v>0</v>
      </c>
      <c r="Q24" s="2"/>
      <c r="R24" s="12">
        <f t="shared" si="9"/>
        <v>15326.08</v>
      </c>
      <c r="S24" s="2">
        <v>1400</v>
      </c>
      <c r="T24" s="11">
        <f>2700/16*7</f>
        <v>1181.25</v>
      </c>
      <c r="U24" s="14">
        <f>H24*10%</f>
        <v>1532.6080000000002</v>
      </c>
      <c r="V24" s="2"/>
      <c r="W24" s="2"/>
      <c r="X24" s="2"/>
      <c r="Y24" s="2"/>
      <c r="Z24" s="2"/>
      <c r="AA24" s="14"/>
      <c r="AB24" s="12">
        <f t="shared" ref="AB24" si="23">R24+S24+T24+U24+V24</f>
        <v>19439.938000000002</v>
      </c>
      <c r="AC24" s="2"/>
      <c r="AD24" s="13">
        <f t="shared" ref="AD24" si="24">AB24</f>
        <v>19439.938000000002</v>
      </c>
    </row>
    <row r="25" spans="1:30" s="35" customFormat="1" ht="59.25" customHeight="1" x14ac:dyDescent="0.2">
      <c r="A25" s="9" t="s">
        <v>43</v>
      </c>
      <c r="B25" s="15" t="s">
        <v>95</v>
      </c>
      <c r="C25" s="3" t="s">
        <v>176</v>
      </c>
      <c r="D25" s="3" t="s">
        <v>96</v>
      </c>
      <c r="E25" s="15">
        <v>12</v>
      </c>
      <c r="F25" s="2">
        <v>2.2679999999999998</v>
      </c>
      <c r="G25" s="2">
        <v>7040</v>
      </c>
      <c r="H25" s="2">
        <f t="shared" si="6"/>
        <v>15966.72</v>
      </c>
      <c r="I25" s="2"/>
      <c r="J25" s="2">
        <v>23</v>
      </c>
      <c r="K25" s="2"/>
      <c r="L25" s="2"/>
      <c r="M25" s="2">
        <f t="shared" si="8"/>
        <v>23</v>
      </c>
      <c r="N25" s="2">
        <f t="shared" ref="N25:N43" si="25">H25/16*I25</f>
        <v>0</v>
      </c>
      <c r="O25" s="2">
        <f t="shared" si="0"/>
        <v>20401.919999999998</v>
      </c>
      <c r="P25" s="2">
        <f t="shared" si="1"/>
        <v>0</v>
      </c>
      <c r="Q25" s="2"/>
      <c r="R25" s="12">
        <f t="shared" si="9"/>
        <v>20401.919999999998</v>
      </c>
      <c r="S25" s="2">
        <v>1400</v>
      </c>
      <c r="T25" s="11">
        <f>2700/18*11</f>
        <v>1650</v>
      </c>
      <c r="U25" s="14">
        <f>H25*20%</f>
        <v>3193.3440000000001</v>
      </c>
      <c r="V25" s="2"/>
      <c r="W25" s="2"/>
      <c r="X25" s="2"/>
      <c r="Y25" s="2"/>
      <c r="Z25" s="2"/>
      <c r="AA25" s="14"/>
      <c r="AB25" s="12">
        <f t="shared" si="21"/>
        <v>26645.263999999999</v>
      </c>
      <c r="AC25" s="2"/>
      <c r="AD25" s="13">
        <f t="shared" si="22"/>
        <v>26645.263999999999</v>
      </c>
    </row>
    <row r="26" spans="1:30" s="36" customFormat="1" ht="41.25" x14ac:dyDescent="0.2">
      <c r="A26" s="31" t="s">
        <v>44</v>
      </c>
      <c r="B26" s="32" t="s">
        <v>97</v>
      </c>
      <c r="C26" s="3" t="s">
        <v>89</v>
      </c>
      <c r="D26" s="33" t="s">
        <v>96</v>
      </c>
      <c r="E26" s="32">
        <v>45</v>
      </c>
      <c r="F26" s="16">
        <v>2.722</v>
      </c>
      <c r="G26" s="2">
        <v>7040</v>
      </c>
      <c r="H26" s="2">
        <f>G26*F26</f>
        <v>19162.88</v>
      </c>
      <c r="I26" s="2">
        <v>12</v>
      </c>
      <c r="J26" s="2"/>
      <c r="K26" s="2"/>
      <c r="L26" s="2"/>
      <c r="M26" s="2">
        <f t="shared" si="8"/>
        <v>12</v>
      </c>
      <c r="N26" s="2">
        <f t="shared" si="25"/>
        <v>14372.16</v>
      </c>
      <c r="O26" s="2">
        <f t="shared" si="0"/>
        <v>0</v>
      </c>
      <c r="P26" s="2">
        <f t="shared" si="1"/>
        <v>0</v>
      </c>
      <c r="Q26" s="2"/>
      <c r="R26" s="12">
        <f t="shared" si="9"/>
        <v>14372.16</v>
      </c>
      <c r="S26" s="2"/>
      <c r="T26" s="11"/>
      <c r="U26" s="14">
        <v>5307</v>
      </c>
      <c r="V26" s="2">
        <f>(1.886*7040)/20*15</f>
        <v>9958.08</v>
      </c>
      <c r="W26" s="2"/>
      <c r="X26" s="2"/>
      <c r="Y26" s="2"/>
      <c r="Z26" s="2"/>
      <c r="AA26" s="2"/>
      <c r="AB26" s="12">
        <f t="shared" si="21"/>
        <v>29637.239999999998</v>
      </c>
      <c r="AC26" s="2"/>
      <c r="AD26" s="13">
        <f t="shared" si="22"/>
        <v>29637.239999999998</v>
      </c>
    </row>
    <row r="27" spans="1:30" s="36" customFormat="1" ht="34.5" customHeight="1" x14ac:dyDescent="0.2">
      <c r="A27" s="70" t="s">
        <v>46</v>
      </c>
      <c r="B27" s="73" t="s">
        <v>98</v>
      </c>
      <c r="C27" s="3" t="s">
        <v>100</v>
      </c>
      <c r="D27" s="49" t="s">
        <v>82</v>
      </c>
      <c r="E27" s="51">
        <v>19</v>
      </c>
      <c r="F27" s="2">
        <v>2.722</v>
      </c>
      <c r="G27" s="2">
        <v>7040</v>
      </c>
      <c r="H27" s="2">
        <f>G27*F27</f>
        <v>19162.88</v>
      </c>
      <c r="I27" s="2">
        <v>6</v>
      </c>
      <c r="J27" s="2"/>
      <c r="K27" s="2"/>
      <c r="L27" s="2"/>
      <c r="M27" s="2">
        <f t="shared" si="8"/>
        <v>6</v>
      </c>
      <c r="N27" s="2">
        <f t="shared" si="25"/>
        <v>7186.08</v>
      </c>
      <c r="O27" s="2">
        <f t="shared" si="0"/>
        <v>0</v>
      </c>
      <c r="P27" s="2">
        <f t="shared" si="1"/>
        <v>0</v>
      </c>
      <c r="Q27" s="2"/>
      <c r="R27" s="12">
        <f t="shared" si="9"/>
        <v>7186.08</v>
      </c>
      <c r="S27" s="2"/>
      <c r="T27" s="11">
        <f>2700/16*6</f>
        <v>1012.5</v>
      </c>
      <c r="U27" s="58">
        <v>5149.58</v>
      </c>
      <c r="V27" s="2"/>
      <c r="W27" s="2"/>
      <c r="X27" s="2"/>
      <c r="Y27" s="2"/>
      <c r="Z27" s="2"/>
      <c r="AA27" s="14"/>
      <c r="AB27" s="12">
        <f>R27+T27</f>
        <v>8198.58</v>
      </c>
      <c r="AC27" s="2"/>
      <c r="AD27" s="56">
        <f>AB27+AB28</f>
        <v>35488.959999999999</v>
      </c>
    </row>
    <row r="28" spans="1:30" s="36" customFormat="1" ht="27.75" x14ac:dyDescent="0.2">
      <c r="A28" s="79"/>
      <c r="B28" s="77"/>
      <c r="C28" s="3" t="s">
        <v>177</v>
      </c>
      <c r="D28" s="50"/>
      <c r="E28" s="52"/>
      <c r="F28" s="2">
        <v>2.2679999999999998</v>
      </c>
      <c r="G28" s="2">
        <v>7040</v>
      </c>
      <c r="H28" s="2">
        <f t="shared" si="6"/>
        <v>15966.72</v>
      </c>
      <c r="I28" s="2"/>
      <c r="J28" s="2">
        <v>18</v>
      </c>
      <c r="K28" s="2">
        <v>2</v>
      </c>
      <c r="L28" s="2"/>
      <c r="M28" s="2">
        <f t="shared" si="8"/>
        <v>20</v>
      </c>
      <c r="N28" s="2">
        <f t="shared" si="25"/>
        <v>0</v>
      </c>
      <c r="O28" s="2">
        <f t="shared" si="0"/>
        <v>15966.72</v>
      </c>
      <c r="P28" s="2">
        <f t="shared" si="1"/>
        <v>1774.08</v>
      </c>
      <c r="Q28" s="2"/>
      <c r="R28" s="12">
        <f t="shared" si="9"/>
        <v>17740.8</v>
      </c>
      <c r="S28" s="2">
        <v>1400</v>
      </c>
      <c r="T28" s="11">
        <f>2700/18*20</f>
        <v>3000</v>
      </c>
      <c r="U28" s="59"/>
      <c r="V28" s="2"/>
      <c r="W28" s="2"/>
      <c r="X28" s="2"/>
      <c r="Y28" s="2"/>
      <c r="Z28" s="2"/>
      <c r="AA28" s="2"/>
      <c r="AB28" s="12">
        <f>R28+S28+T28+U27</f>
        <v>27290.379999999997</v>
      </c>
      <c r="AC28" s="2"/>
      <c r="AD28" s="57"/>
    </row>
    <row r="29" spans="1:30" s="36" customFormat="1" ht="48.75" customHeight="1" x14ac:dyDescent="0.2">
      <c r="A29" s="9" t="s">
        <v>47</v>
      </c>
      <c r="B29" s="15" t="s">
        <v>101</v>
      </c>
      <c r="C29" s="3" t="s">
        <v>147</v>
      </c>
      <c r="D29" s="3" t="s">
        <v>102</v>
      </c>
      <c r="E29" s="2">
        <v>4</v>
      </c>
      <c r="F29" s="2">
        <v>2.4510000000000001</v>
      </c>
      <c r="G29" s="2">
        <v>7040</v>
      </c>
      <c r="H29" s="2">
        <f t="shared" si="6"/>
        <v>17255.04</v>
      </c>
      <c r="I29" s="2">
        <v>16</v>
      </c>
      <c r="J29" s="2"/>
      <c r="K29" s="2"/>
      <c r="L29" s="2"/>
      <c r="M29" s="2">
        <f t="shared" si="8"/>
        <v>16</v>
      </c>
      <c r="N29" s="2">
        <f t="shared" si="25"/>
        <v>17255.04</v>
      </c>
      <c r="O29" s="2">
        <f t="shared" si="0"/>
        <v>0</v>
      </c>
      <c r="P29" s="2">
        <f t="shared" si="1"/>
        <v>0</v>
      </c>
      <c r="Q29" s="2"/>
      <c r="R29" s="12">
        <f t="shared" si="9"/>
        <v>17255.04</v>
      </c>
      <c r="S29" s="2">
        <v>1400</v>
      </c>
      <c r="T29" s="11">
        <f>2700/16*8</f>
        <v>1350</v>
      </c>
      <c r="U29" s="14">
        <f>H29*10%</f>
        <v>1725.5040000000001</v>
      </c>
      <c r="V29" s="12"/>
      <c r="W29" s="2"/>
      <c r="X29" s="2"/>
      <c r="Y29" s="2"/>
      <c r="Z29" s="2"/>
      <c r="AA29" s="2"/>
      <c r="AB29" s="12">
        <f t="shared" si="21"/>
        <v>21730.544000000002</v>
      </c>
      <c r="AC29" s="2"/>
      <c r="AD29" s="13">
        <f t="shared" si="22"/>
        <v>21730.544000000002</v>
      </c>
    </row>
    <row r="30" spans="1:30" s="36" customFormat="1" ht="41.25" x14ac:dyDescent="0.2">
      <c r="A30" s="9" t="s">
        <v>48</v>
      </c>
      <c r="B30" s="15" t="s">
        <v>73</v>
      </c>
      <c r="C30" s="3" t="s">
        <v>179</v>
      </c>
      <c r="D30" s="3" t="s">
        <v>69</v>
      </c>
      <c r="E30" s="2">
        <v>7</v>
      </c>
      <c r="F30" s="2">
        <v>2.4510000000000001</v>
      </c>
      <c r="G30" s="2">
        <v>7040</v>
      </c>
      <c r="H30" s="2">
        <f t="shared" si="6"/>
        <v>17255.04</v>
      </c>
      <c r="I30" s="2"/>
      <c r="J30" s="2">
        <v>24</v>
      </c>
      <c r="K30" s="2"/>
      <c r="L30" s="2"/>
      <c r="M30" s="2">
        <f t="shared" si="8"/>
        <v>24</v>
      </c>
      <c r="N30" s="2">
        <f t="shared" si="25"/>
        <v>0</v>
      </c>
      <c r="O30" s="14">
        <f t="shared" si="0"/>
        <v>23006.720000000001</v>
      </c>
      <c r="P30" s="2">
        <f t="shared" si="1"/>
        <v>0</v>
      </c>
      <c r="Q30" s="2"/>
      <c r="R30" s="12">
        <f t="shared" si="9"/>
        <v>23006.720000000001</v>
      </c>
      <c r="S30" s="2">
        <v>1400</v>
      </c>
      <c r="T30" s="11">
        <f>2700/18*8</f>
        <v>1200</v>
      </c>
      <c r="U30" s="14">
        <f>H30*10%</f>
        <v>1725.5040000000001</v>
      </c>
      <c r="V30" s="2"/>
      <c r="W30" s="2"/>
      <c r="X30" s="2"/>
      <c r="Y30" s="2"/>
      <c r="Z30" s="2"/>
      <c r="AA30" s="2"/>
      <c r="AB30" s="12">
        <f t="shared" ref="AB30" si="26">R30+S30+T30+U30+V30</f>
        <v>27332.224000000002</v>
      </c>
      <c r="AC30" s="2"/>
      <c r="AD30" s="13">
        <f t="shared" ref="AD30" si="27">AB30</f>
        <v>27332.224000000002</v>
      </c>
    </row>
    <row r="31" spans="1:30" ht="27.75" x14ac:dyDescent="0.2">
      <c r="A31" s="9" t="s">
        <v>49</v>
      </c>
      <c r="B31" s="15" t="s">
        <v>86</v>
      </c>
      <c r="C31" s="3" t="s">
        <v>41</v>
      </c>
      <c r="D31" s="3" t="s">
        <v>87</v>
      </c>
      <c r="E31" s="2">
        <v>43</v>
      </c>
      <c r="F31" s="11">
        <v>2.6080000000000001</v>
      </c>
      <c r="G31" s="11">
        <v>7040</v>
      </c>
      <c r="H31" s="11">
        <f t="shared" si="6"/>
        <v>18360.32</v>
      </c>
      <c r="I31" s="11"/>
      <c r="J31" s="11">
        <v>20</v>
      </c>
      <c r="K31" s="11"/>
      <c r="L31" s="11"/>
      <c r="M31" s="11">
        <f t="shared" si="8"/>
        <v>20</v>
      </c>
      <c r="N31" s="11">
        <f>H31/16*I31</f>
        <v>0</v>
      </c>
      <c r="O31" s="11">
        <f t="shared" si="0"/>
        <v>20400.355555555554</v>
      </c>
      <c r="P31" s="11">
        <f t="shared" si="1"/>
        <v>0</v>
      </c>
      <c r="Q31" s="11"/>
      <c r="R31" s="12">
        <f t="shared" si="9"/>
        <v>20400.355555555554</v>
      </c>
      <c r="S31" s="11">
        <v>1400</v>
      </c>
      <c r="T31" s="11">
        <f>2700/18*10</f>
        <v>1500</v>
      </c>
      <c r="U31" s="12">
        <f>H31*30%</f>
        <v>5508.0959999999995</v>
      </c>
      <c r="V31" s="11"/>
      <c r="W31" s="11"/>
      <c r="X31" s="11"/>
      <c r="Y31" s="11"/>
      <c r="Z31" s="11"/>
      <c r="AA31" s="14"/>
      <c r="AB31" s="12">
        <f t="shared" ref="AB31:AB39" si="28">R31+S31+T31+U31+V31</f>
        <v>28808.451555555555</v>
      </c>
      <c r="AC31" s="2"/>
      <c r="AD31" s="13">
        <f t="shared" ref="AD31:AD39" si="29">AB31</f>
        <v>28808.451555555555</v>
      </c>
    </row>
    <row r="32" spans="1:30" s="36" customFormat="1" ht="30" customHeight="1" x14ac:dyDescent="0.2">
      <c r="A32" s="70" t="s">
        <v>50</v>
      </c>
      <c r="B32" s="73" t="s">
        <v>103</v>
      </c>
      <c r="C32" s="3" t="s">
        <v>84</v>
      </c>
      <c r="D32" s="49" t="s">
        <v>104</v>
      </c>
      <c r="E32" s="51">
        <v>45</v>
      </c>
      <c r="F32" s="2">
        <v>2.177</v>
      </c>
      <c r="G32" s="2">
        <v>7040</v>
      </c>
      <c r="H32" s="2">
        <f t="shared" si="6"/>
        <v>15326.08</v>
      </c>
      <c r="I32" s="2">
        <v>11</v>
      </c>
      <c r="J32" s="2"/>
      <c r="K32" s="2"/>
      <c r="L32" s="11">
        <v>3</v>
      </c>
      <c r="M32" s="2">
        <f>L32+I32</f>
        <v>14</v>
      </c>
      <c r="N32" s="2">
        <f t="shared" si="25"/>
        <v>10536.68</v>
      </c>
      <c r="O32" s="2">
        <f t="shared" si="0"/>
        <v>0</v>
      </c>
      <c r="P32" s="2">
        <f t="shared" si="1"/>
        <v>0</v>
      </c>
      <c r="Q32" s="11">
        <f>H32/16*L32</f>
        <v>2873.64</v>
      </c>
      <c r="R32" s="12">
        <f>N32+O32+P32+Q32</f>
        <v>13410.32</v>
      </c>
      <c r="S32" s="2">
        <v>1400</v>
      </c>
      <c r="T32" s="2">
        <f>2700/16*5</f>
        <v>843.75</v>
      </c>
      <c r="U32" s="58">
        <v>3799.53</v>
      </c>
      <c r="V32" s="2"/>
      <c r="W32" s="2"/>
      <c r="X32" s="2"/>
      <c r="Y32" s="2"/>
      <c r="Z32" s="2"/>
      <c r="AA32" s="14"/>
      <c r="AB32" s="12">
        <f>U32+T32+S32+R32</f>
        <v>19453.599999999999</v>
      </c>
      <c r="AC32" s="2"/>
      <c r="AD32" s="56">
        <f>AB32+AB33</f>
        <v>21582.026666666665</v>
      </c>
    </row>
    <row r="33" spans="1:30" s="36" customFormat="1" ht="23.25" customHeight="1" x14ac:dyDescent="0.2">
      <c r="A33" s="71"/>
      <c r="B33" s="74"/>
      <c r="C33" s="33" t="s">
        <v>106</v>
      </c>
      <c r="D33" s="78"/>
      <c r="E33" s="60"/>
      <c r="F33" s="2">
        <v>1.8140000000000001</v>
      </c>
      <c r="G33" s="2">
        <v>7040</v>
      </c>
      <c r="H33" s="2">
        <f t="shared" si="6"/>
        <v>12770.560000000001</v>
      </c>
      <c r="I33" s="2"/>
      <c r="J33" s="2">
        <v>3</v>
      </c>
      <c r="K33" s="2"/>
      <c r="L33" s="2"/>
      <c r="M33" s="2">
        <f t="shared" si="8"/>
        <v>3</v>
      </c>
      <c r="N33" s="2">
        <f t="shared" si="25"/>
        <v>0</v>
      </c>
      <c r="O33" s="14">
        <f t="shared" si="0"/>
        <v>2128.4266666666667</v>
      </c>
      <c r="P33" s="2">
        <f t="shared" si="1"/>
        <v>0</v>
      </c>
      <c r="Q33" s="2"/>
      <c r="R33" s="12">
        <f t="shared" ref="R33:R64" si="30">N33+O33+P33</f>
        <v>2128.4266666666667</v>
      </c>
      <c r="S33" s="2"/>
      <c r="T33" s="2"/>
      <c r="U33" s="59"/>
      <c r="V33" s="2"/>
      <c r="W33" s="2"/>
      <c r="X33" s="2"/>
      <c r="Y33" s="2"/>
      <c r="Z33" s="2"/>
      <c r="AA33" s="14"/>
      <c r="AB33" s="12">
        <f t="shared" ref="AB33:AB34" si="31">R33+S33+T33+U33+V33</f>
        <v>2128.4266666666667</v>
      </c>
      <c r="AC33" s="2"/>
      <c r="AD33" s="57"/>
    </row>
    <row r="34" spans="1:30" s="36" customFormat="1" ht="30" customHeight="1" x14ac:dyDescent="0.2">
      <c r="A34" s="31" t="s">
        <v>51</v>
      </c>
      <c r="B34" s="32" t="s">
        <v>180</v>
      </c>
      <c r="C34" s="3" t="s">
        <v>181</v>
      </c>
      <c r="D34" s="33" t="s">
        <v>96</v>
      </c>
      <c r="E34" s="34">
        <v>9</v>
      </c>
      <c r="F34" s="2">
        <v>2.2679999999999998</v>
      </c>
      <c r="G34" s="2">
        <v>7040</v>
      </c>
      <c r="H34" s="2">
        <f t="shared" ref="H34" si="32">G34*F34</f>
        <v>15966.72</v>
      </c>
      <c r="I34" s="2"/>
      <c r="J34" s="2">
        <v>14</v>
      </c>
      <c r="K34" s="2">
        <v>4</v>
      </c>
      <c r="L34" s="2"/>
      <c r="M34" s="2">
        <f t="shared" si="8"/>
        <v>18</v>
      </c>
      <c r="N34" s="2">
        <f t="shared" ref="N34" si="33">H34/16*I34</f>
        <v>0</v>
      </c>
      <c r="O34" s="2">
        <f t="shared" si="0"/>
        <v>12418.56</v>
      </c>
      <c r="P34" s="2">
        <f t="shared" si="1"/>
        <v>3548.16</v>
      </c>
      <c r="Q34" s="2"/>
      <c r="R34" s="12">
        <f t="shared" si="30"/>
        <v>15966.72</v>
      </c>
      <c r="S34" s="2"/>
      <c r="T34" s="2">
        <f>2700/18*18</f>
        <v>2700</v>
      </c>
      <c r="U34" s="12">
        <f>H34*20%</f>
        <v>3193.3440000000001</v>
      </c>
      <c r="V34" s="2"/>
      <c r="W34" s="2"/>
      <c r="X34" s="2"/>
      <c r="Y34" s="2"/>
      <c r="Z34" s="2"/>
      <c r="AA34" s="2"/>
      <c r="AB34" s="12">
        <f t="shared" si="31"/>
        <v>21860.064000000002</v>
      </c>
      <c r="AC34" s="2"/>
      <c r="AD34" s="13">
        <f t="shared" ref="AD34" si="34">AB34</f>
        <v>21860.064000000002</v>
      </c>
    </row>
    <row r="35" spans="1:30" s="36" customFormat="1" ht="30" customHeight="1" x14ac:dyDescent="0.2">
      <c r="A35" s="31" t="s">
        <v>52</v>
      </c>
      <c r="B35" s="32" t="s">
        <v>105</v>
      </c>
      <c r="C35" s="3" t="s">
        <v>147</v>
      </c>
      <c r="D35" s="33" t="s">
        <v>82</v>
      </c>
      <c r="E35" s="34">
        <v>4</v>
      </c>
      <c r="F35" s="2">
        <v>2.722</v>
      </c>
      <c r="G35" s="2">
        <v>7040</v>
      </c>
      <c r="H35" s="2">
        <f t="shared" si="6"/>
        <v>19162.88</v>
      </c>
      <c r="I35" s="2">
        <v>16</v>
      </c>
      <c r="J35" s="2"/>
      <c r="K35" s="2"/>
      <c r="L35" s="2"/>
      <c r="M35" s="2">
        <f t="shared" si="8"/>
        <v>16</v>
      </c>
      <c r="N35" s="2">
        <f t="shared" si="25"/>
        <v>19162.88</v>
      </c>
      <c r="O35" s="2">
        <f t="shared" si="0"/>
        <v>0</v>
      </c>
      <c r="P35" s="2">
        <f t="shared" si="1"/>
        <v>0</v>
      </c>
      <c r="Q35" s="2"/>
      <c r="R35" s="12">
        <f t="shared" si="30"/>
        <v>19162.88</v>
      </c>
      <c r="S35" s="2">
        <v>1400</v>
      </c>
      <c r="T35" s="2">
        <f>2700/16*8</f>
        <v>1350</v>
      </c>
      <c r="U35" s="12">
        <f>H35*10%</f>
        <v>1916.2880000000002</v>
      </c>
      <c r="V35" s="2"/>
      <c r="W35" s="2"/>
      <c r="X35" s="2"/>
      <c r="Y35" s="2"/>
      <c r="Z35" s="2"/>
      <c r="AA35" s="2"/>
      <c r="AB35" s="12">
        <f t="shared" si="28"/>
        <v>23829.168000000001</v>
      </c>
      <c r="AC35" s="2"/>
      <c r="AD35" s="13">
        <f t="shared" si="29"/>
        <v>23829.168000000001</v>
      </c>
    </row>
    <row r="36" spans="1:30" ht="41.25" x14ac:dyDescent="0.2">
      <c r="A36" s="9" t="s">
        <v>53</v>
      </c>
      <c r="B36" s="15" t="s">
        <v>107</v>
      </c>
      <c r="C36" s="3" t="s">
        <v>147</v>
      </c>
      <c r="D36" s="3" t="s">
        <v>82</v>
      </c>
      <c r="E36" s="2">
        <v>12</v>
      </c>
      <c r="F36" s="2">
        <v>2.722</v>
      </c>
      <c r="G36" s="2">
        <v>7040</v>
      </c>
      <c r="H36" s="2">
        <f t="shared" si="6"/>
        <v>19162.88</v>
      </c>
      <c r="I36" s="2">
        <v>16</v>
      </c>
      <c r="J36" s="2"/>
      <c r="K36" s="2"/>
      <c r="L36" s="2"/>
      <c r="M36" s="2">
        <f t="shared" si="8"/>
        <v>16</v>
      </c>
      <c r="N36" s="2">
        <f t="shared" si="25"/>
        <v>19162.88</v>
      </c>
      <c r="O36" s="2">
        <f t="shared" si="0"/>
        <v>0</v>
      </c>
      <c r="P36" s="2">
        <f t="shared" si="1"/>
        <v>0</v>
      </c>
      <c r="Q36" s="2"/>
      <c r="R36" s="12">
        <f t="shared" si="30"/>
        <v>19162.88</v>
      </c>
      <c r="S36" s="2">
        <v>1400</v>
      </c>
      <c r="T36" s="2">
        <f>2700/16*8</f>
        <v>1350</v>
      </c>
      <c r="U36" s="14">
        <f>H36*20%</f>
        <v>3832.5760000000005</v>
      </c>
      <c r="V36" s="11"/>
      <c r="W36" s="2"/>
      <c r="X36" s="2"/>
      <c r="Y36" s="2"/>
      <c r="Z36" s="2"/>
      <c r="AA36" s="2"/>
      <c r="AB36" s="12">
        <f t="shared" si="28"/>
        <v>25745.456000000002</v>
      </c>
      <c r="AC36" s="2"/>
      <c r="AD36" s="13">
        <f t="shared" si="29"/>
        <v>25745.456000000002</v>
      </c>
    </row>
    <row r="37" spans="1:30" ht="18.75" customHeight="1" x14ac:dyDescent="0.2">
      <c r="A37" s="70" t="s">
        <v>54</v>
      </c>
      <c r="B37" s="73" t="s">
        <v>72</v>
      </c>
      <c r="C37" s="3" t="s">
        <v>45</v>
      </c>
      <c r="D37" s="49" t="s">
        <v>108</v>
      </c>
      <c r="E37" s="51">
        <v>23</v>
      </c>
      <c r="F37" s="2">
        <v>2.722</v>
      </c>
      <c r="G37" s="2">
        <v>7040</v>
      </c>
      <c r="H37" s="2">
        <f t="shared" si="6"/>
        <v>19162.88</v>
      </c>
      <c r="I37" s="2"/>
      <c r="J37" s="2">
        <v>10</v>
      </c>
      <c r="K37" s="2">
        <v>3</v>
      </c>
      <c r="L37" s="2"/>
      <c r="M37" s="2">
        <f t="shared" si="8"/>
        <v>13</v>
      </c>
      <c r="N37" s="2">
        <f t="shared" si="25"/>
        <v>0</v>
      </c>
      <c r="O37" s="2">
        <f t="shared" si="0"/>
        <v>10646.044444444444</v>
      </c>
      <c r="P37" s="2">
        <f t="shared" si="1"/>
        <v>3193.8133333333335</v>
      </c>
      <c r="Q37" s="2"/>
      <c r="R37" s="12">
        <f t="shared" si="30"/>
        <v>13839.857777777777</v>
      </c>
      <c r="S37" s="2">
        <v>1400</v>
      </c>
      <c r="T37" s="2"/>
      <c r="U37" s="14">
        <v>5482.52</v>
      </c>
      <c r="V37" s="2"/>
      <c r="W37" s="2"/>
      <c r="X37" s="2"/>
      <c r="Y37" s="2"/>
      <c r="Z37" s="2"/>
      <c r="AA37" s="2"/>
      <c r="AB37" s="12">
        <f t="shared" si="28"/>
        <v>20722.37777777778</v>
      </c>
      <c r="AC37" s="2"/>
      <c r="AD37" s="56">
        <f>AB37+AB38</f>
        <v>29592.777777777781</v>
      </c>
    </row>
    <row r="38" spans="1:30" ht="28.5" customHeight="1" x14ac:dyDescent="0.2">
      <c r="A38" s="71"/>
      <c r="B38" s="74"/>
      <c r="C38" s="3" t="s">
        <v>182</v>
      </c>
      <c r="D38" s="78"/>
      <c r="E38" s="60"/>
      <c r="F38" s="2">
        <v>2.2679999999999998</v>
      </c>
      <c r="G38" s="2">
        <v>7040</v>
      </c>
      <c r="H38" s="2">
        <f t="shared" si="6"/>
        <v>15966.72</v>
      </c>
      <c r="I38" s="2"/>
      <c r="J38" s="2">
        <v>10</v>
      </c>
      <c r="K38" s="2"/>
      <c r="L38" s="2"/>
      <c r="M38" s="2">
        <f t="shared" si="8"/>
        <v>10</v>
      </c>
      <c r="N38" s="2">
        <f t="shared" si="25"/>
        <v>0</v>
      </c>
      <c r="O38" s="2">
        <f t="shared" si="0"/>
        <v>8870.4</v>
      </c>
      <c r="P38" s="2">
        <f t="shared" si="1"/>
        <v>0</v>
      </c>
      <c r="Q38" s="2"/>
      <c r="R38" s="12">
        <f t="shared" si="30"/>
        <v>8870.4</v>
      </c>
      <c r="S38" s="2"/>
      <c r="T38" s="2"/>
      <c r="U38" s="2"/>
      <c r="V38" s="2"/>
      <c r="W38" s="2"/>
      <c r="X38" s="2"/>
      <c r="Y38" s="2"/>
      <c r="Z38" s="2"/>
      <c r="AA38" s="2"/>
      <c r="AB38" s="12">
        <f t="shared" si="28"/>
        <v>8870.4</v>
      </c>
      <c r="AC38" s="2"/>
      <c r="AD38" s="57"/>
    </row>
    <row r="39" spans="1:30" ht="41.25" x14ac:dyDescent="0.2">
      <c r="A39" s="9" t="s">
        <v>55</v>
      </c>
      <c r="B39" s="15" t="s">
        <v>109</v>
      </c>
      <c r="C39" s="3" t="s">
        <v>147</v>
      </c>
      <c r="D39" s="3" t="s">
        <v>110</v>
      </c>
      <c r="E39" s="2">
        <v>21</v>
      </c>
      <c r="F39" s="2">
        <v>2.722</v>
      </c>
      <c r="G39" s="2">
        <v>7040</v>
      </c>
      <c r="H39" s="2">
        <f t="shared" si="6"/>
        <v>19162.88</v>
      </c>
      <c r="I39" s="2">
        <v>16</v>
      </c>
      <c r="J39" s="2"/>
      <c r="K39" s="2"/>
      <c r="L39" s="2"/>
      <c r="M39" s="2">
        <f t="shared" si="8"/>
        <v>16</v>
      </c>
      <c r="N39" s="2">
        <f t="shared" si="25"/>
        <v>19162.88</v>
      </c>
      <c r="O39" s="2">
        <f t="shared" si="0"/>
        <v>0</v>
      </c>
      <c r="P39" s="2">
        <f t="shared" si="1"/>
        <v>0</v>
      </c>
      <c r="Q39" s="2"/>
      <c r="R39" s="12">
        <f t="shared" si="30"/>
        <v>19162.88</v>
      </c>
      <c r="S39" s="2">
        <v>1400</v>
      </c>
      <c r="T39" s="2">
        <f>2700/16*8</f>
        <v>1350</v>
      </c>
      <c r="U39" s="14">
        <f>H39*30%</f>
        <v>5748.8640000000005</v>
      </c>
      <c r="V39" s="2"/>
      <c r="W39" s="2"/>
      <c r="X39" s="2"/>
      <c r="Y39" s="2"/>
      <c r="Z39" s="2"/>
      <c r="AA39" s="2"/>
      <c r="AB39" s="12">
        <f t="shared" si="28"/>
        <v>27661.744000000002</v>
      </c>
      <c r="AC39" s="2"/>
      <c r="AD39" s="13">
        <f t="shared" si="29"/>
        <v>27661.744000000002</v>
      </c>
    </row>
    <row r="40" spans="1:30" ht="55.5" customHeight="1" x14ac:dyDescent="0.2">
      <c r="A40" s="9" t="s">
        <v>56</v>
      </c>
      <c r="B40" s="15" t="s">
        <v>112</v>
      </c>
      <c r="C40" s="3" t="s">
        <v>183</v>
      </c>
      <c r="D40" s="3" t="s">
        <v>113</v>
      </c>
      <c r="E40" s="2">
        <v>14</v>
      </c>
      <c r="F40" s="2">
        <v>2.4510000000000001</v>
      </c>
      <c r="G40" s="2">
        <v>7040</v>
      </c>
      <c r="H40" s="2">
        <f t="shared" si="6"/>
        <v>17255.04</v>
      </c>
      <c r="I40" s="2"/>
      <c r="J40" s="2">
        <v>23</v>
      </c>
      <c r="K40" s="2"/>
      <c r="L40" s="2"/>
      <c r="M40" s="2">
        <f t="shared" si="8"/>
        <v>23</v>
      </c>
      <c r="N40" s="2">
        <f t="shared" si="25"/>
        <v>0</v>
      </c>
      <c r="O40" s="14">
        <f t="shared" si="0"/>
        <v>22048.106666666667</v>
      </c>
      <c r="P40" s="2">
        <f t="shared" si="1"/>
        <v>0</v>
      </c>
      <c r="Q40" s="2"/>
      <c r="R40" s="12">
        <f t="shared" si="30"/>
        <v>22048.106666666667</v>
      </c>
      <c r="S40" s="2"/>
      <c r="T40" s="2">
        <f>2700/18*8</f>
        <v>1200</v>
      </c>
      <c r="U40" s="14">
        <f>H40*30%</f>
        <v>5176.5119999999997</v>
      </c>
      <c r="V40" s="11"/>
      <c r="W40" s="2"/>
      <c r="X40" s="2"/>
      <c r="Y40" s="2"/>
      <c r="Z40" s="2"/>
      <c r="AA40" s="2"/>
      <c r="AB40" s="12">
        <f t="shared" ref="AB40:AB43" si="35">R40+S40+T40+U40+V40</f>
        <v>28424.618666666665</v>
      </c>
      <c r="AC40" s="2"/>
      <c r="AD40" s="13">
        <f t="shared" ref="AD40:AD43" si="36">AB40</f>
        <v>28424.618666666665</v>
      </c>
    </row>
    <row r="41" spans="1:30" ht="45.75" customHeight="1" x14ac:dyDescent="0.2">
      <c r="A41" s="70" t="s">
        <v>57</v>
      </c>
      <c r="B41" s="73" t="s">
        <v>114</v>
      </c>
      <c r="C41" s="3" t="s">
        <v>115</v>
      </c>
      <c r="D41" s="49" t="s">
        <v>116</v>
      </c>
      <c r="E41" s="51">
        <v>10</v>
      </c>
      <c r="F41" s="17">
        <v>3.13</v>
      </c>
      <c r="G41" s="2">
        <v>7040</v>
      </c>
      <c r="H41" s="2">
        <f t="shared" si="6"/>
        <v>22035.200000000001</v>
      </c>
      <c r="I41" s="2">
        <v>6</v>
      </c>
      <c r="J41" s="2"/>
      <c r="K41" s="2"/>
      <c r="L41" s="2"/>
      <c r="M41" s="2">
        <f t="shared" si="8"/>
        <v>6</v>
      </c>
      <c r="N41" s="2">
        <f t="shared" si="25"/>
        <v>8263.2000000000007</v>
      </c>
      <c r="O41" s="2">
        <f t="shared" si="0"/>
        <v>0</v>
      </c>
      <c r="P41" s="2">
        <f t="shared" si="1"/>
        <v>0</v>
      </c>
      <c r="Q41" s="2"/>
      <c r="R41" s="12">
        <f t="shared" si="30"/>
        <v>8263.2000000000007</v>
      </c>
      <c r="S41" s="2"/>
      <c r="T41" s="11">
        <f>2700/16*6</f>
        <v>1012.5</v>
      </c>
      <c r="U41" s="2"/>
      <c r="V41" s="2"/>
      <c r="W41" s="2"/>
      <c r="X41" s="2"/>
      <c r="Y41" s="2"/>
      <c r="Z41" s="2"/>
      <c r="AA41" s="14"/>
      <c r="AB41" s="12">
        <f t="shared" si="35"/>
        <v>9275.7000000000007</v>
      </c>
      <c r="AC41" s="2"/>
      <c r="AD41" s="56">
        <f>AB41+AB42</f>
        <v>28213.593333333334</v>
      </c>
    </row>
    <row r="42" spans="1:30" ht="37.5" customHeight="1" x14ac:dyDescent="0.2">
      <c r="A42" s="79"/>
      <c r="B42" s="77"/>
      <c r="C42" s="3" t="s">
        <v>41</v>
      </c>
      <c r="D42" s="50"/>
      <c r="E42" s="52"/>
      <c r="F42" s="2">
        <v>2.6080000000000001</v>
      </c>
      <c r="G42" s="2">
        <v>7040</v>
      </c>
      <c r="H42" s="2">
        <f t="shared" si="6"/>
        <v>18360.32</v>
      </c>
      <c r="I42" s="2"/>
      <c r="J42" s="2">
        <v>12</v>
      </c>
      <c r="K42" s="2"/>
      <c r="L42" s="2"/>
      <c r="M42" s="2">
        <f t="shared" si="8"/>
        <v>12</v>
      </c>
      <c r="N42" s="2">
        <f t="shared" si="25"/>
        <v>0</v>
      </c>
      <c r="O42" s="2">
        <f t="shared" si="0"/>
        <v>12240.213333333333</v>
      </c>
      <c r="P42" s="2">
        <f t="shared" si="1"/>
        <v>0</v>
      </c>
      <c r="Q42" s="2"/>
      <c r="R42" s="12">
        <f t="shared" si="30"/>
        <v>12240.213333333333</v>
      </c>
      <c r="S42" s="2">
        <v>1400</v>
      </c>
      <c r="T42" s="11">
        <f>2700/18*9</f>
        <v>1350</v>
      </c>
      <c r="U42" s="14">
        <v>3947.68</v>
      </c>
      <c r="V42" s="2"/>
      <c r="W42" s="2"/>
      <c r="X42" s="2"/>
      <c r="Y42" s="2"/>
      <c r="Z42" s="2"/>
      <c r="AA42" s="14"/>
      <c r="AB42" s="12">
        <f t="shared" si="35"/>
        <v>18937.893333333333</v>
      </c>
      <c r="AC42" s="2"/>
      <c r="AD42" s="63"/>
    </row>
    <row r="43" spans="1:30" ht="48.75" customHeight="1" x14ac:dyDescent="0.2">
      <c r="A43" s="9" t="s">
        <v>58</v>
      </c>
      <c r="B43" s="15" t="s">
        <v>117</v>
      </c>
      <c r="C43" s="3" t="s">
        <v>118</v>
      </c>
      <c r="D43" s="3" t="s">
        <v>82</v>
      </c>
      <c r="E43" s="2">
        <v>15</v>
      </c>
      <c r="F43" s="2">
        <v>2.2679999999999998</v>
      </c>
      <c r="G43" s="2">
        <v>7040</v>
      </c>
      <c r="H43" s="2">
        <f t="shared" si="6"/>
        <v>15966.72</v>
      </c>
      <c r="I43" s="2"/>
      <c r="J43" s="2">
        <v>5</v>
      </c>
      <c r="K43" s="2">
        <v>16</v>
      </c>
      <c r="L43" s="2"/>
      <c r="M43" s="2">
        <f t="shared" si="8"/>
        <v>21</v>
      </c>
      <c r="N43" s="2">
        <f t="shared" si="25"/>
        <v>0</v>
      </c>
      <c r="O43" s="2">
        <f t="shared" si="0"/>
        <v>4435.2</v>
      </c>
      <c r="P43" s="2">
        <f t="shared" si="1"/>
        <v>14192.64</v>
      </c>
      <c r="Q43" s="2"/>
      <c r="R43" s="12">
        <f t="shared" si="30"/>
        <v>18627.84</v>
      </c>
      <c r="S43" s="2">
        <v>1400</v>
      </c>
      <c r="T43" s="11">
        <f>2700/18*9</f>
        <v>1350</v>
      </c>
      <c r="U43" s="14">
        <f>H43*30%</f>
        <v>4790.0159999999996</v>
      </c>
      <c r="V43" s="2"/>
      <c r="W43" s="2"/>
      <c r="X43" s="2"/>
      <c r="Y43" s="2"/>
      <c r="Z43" s="2"/>
      <c r="AA43" s="2"/>
      <c r="AB43" s="12">
        <f t="shared" si="35"/>
        <v>26167.856</v>
      </c>
      <c r="AC43" s="2"/>
      <c r="AD43" s="13">
        <f t="shared" si="36"/>
        <v>26167.856</v>
      </c>
    </row>
    <row r="44" spans="1:30" ht="48.75" customHeight="1" x14ac:dyDescent="0.2">
      <c r="A44" s="9" t="s">
        <v>59</v>
      </c>
      <c r="B44" s="3" t="s">
        <v>191</v>
      </c>
      <c r="C44" s="3" t="s">
        <v>41</v>
      </c>
      <c r="D44" s="3" t="s">
        <v>82</v>
      </c>
      <c r="E44" s="2">
        <v>21</v>
      </c>
      <c r="F44" s="17">
        <v>3.13</v>
      </c>
      <c r="G44" s="2">
        <v>7040</v>
      </c>
      <c r="H44" s="2">
        <f t="shared" si="6"/>
        <v>22035.200000000001</v>
      </c>
      <c r="I44" s="2">
        <v>18</v>
      </c>
      <c r="J44" s="2"/>
      <c r="K44" s="2"/>
      <c r="L44" s="2"/>
      <c r="M44" s="2">
        <f t="shared" si="8"/>
        <v>18</v>
      </c>
      <c r="N44" s="2">
        <f t="shared" ref="N44:N64" si="37">H44/16*I44</f>
        <v>24789.600000000002</v>
      </c>
      <c r="O44" s="2">
        <f t="shared" si="0"/>
        <v>0</v>
      </c>
      <c r="P44" s="2">
        <f t="shared" si="1"/>
        <v>0</v>
      </c>
      <c r="Q44" s="2"/>
      <c r="R44" s="12">
        <f t="shared" si="30"/>
        <v>24789.600000000002</v>
      </c>
      <c r="S44" s="2"/>
      <c r="T44" s="11">
        <f>2700/16*18</f>
        <v>3037.5</v>
      </c>
      <c r="U44" s="2">
        <f>H44*30%</f>
        <v>6610.56</v>
      </c>
      <c r="V44" s="2"/>
      <c r="W44" s="2"/>
      <c r="X44" s="2"/>
      <c r="Y44" s="2"/>
      <c r="Z44" s="2"/>
      <c r="AA44" s="14"/>
      <c r="AB44" s="12">
        <f t="shared" ref="AB44:AB47" si="38">R44+S44+T44+U44+V44</f>
        <v>34437.660000000003</v>
      </c>
      <c r="AC44" s="2"/>
      <c r="AD44" s="13">
        <f t="shared" ref="AD44:AD48" si="39">AB44</f>
        <v>34437.660000000003</v>
      </c>
    </row>
    <row r="45" spans="1:30" ht="45" customHeight="1" x14ac:dyDescent="0.2">
      <c r="A45" s="9" t="s">
        <v>60</v>
      </c>
      <c r="B45" s="15" t="s">
        <v>119</v>
      </c>
      <c r="C45" s="3" t="s">
        <v>120</v>
      </c>
      <c r="D45" s="3" t="s">
        <v>123</v>
      </c>
      <c r="E45" s="2">
        <v>4</v>
      </c>
      <c r="F45" s="2">
        <v>2.2679999999999998</v>
      </c>
      <c r="G45" s="2">
        <v>7040</v>
      </c>
      <c r="H45" s="2">
        <f t="shared" si="6"/>
        <v>15966.72</v>
      </c>
      <c r="I45" s="2"/>
      <c r="J45" s="2">
        <v>10</v>
      </c>
      <c r="K45" s="2">
        <v>12</v>
      </c>
      <c r="L45" s="2"/>
      <c r="M45" s="2">
        <f t="shared" si="8"/>
        <v>22</v>
      </c>
      <c r="N45" s="2">
        <f t="shared" si="37"/>
        <v>0</v>
      </c>
      <c r="O45" s="2">
        <f t="shared" ref="O45:O64" si="40">H45/18*J45</f>
        <v>8870.4</v>
      </c>
      <c r="P45" s="2">
        <f t="shared" si="1"/>
        <v>10644.48</v>
      </c>
      <c r="Q45" s="2"/>
      <c r="R45" s="12">
        <f t="shared" si="30"/>
        <v>19514.879999999997</v>
      </c>
      <c r="S45" s="2"/>
      <c r="T45" s="11"/>
      <c r="U45" s="14">
        <f>H45*10%</f>
        <v>1596.672</v>
      </c>
      <c r="V45" s="12">
        <f>(7040*1.886)/20*5</f>
        <v>3319.3599999999997</v>
      </c>
      <c r="W45" s="2"/>
      <c r="X45" s="2"/>
      <c r="Y45" s="2"/>
      <c r="Z45" s="2"/>
      <c r="AA45" s="2"/>
      <c r="AB45" s="12">
        <f t="shared" si="38"/>
        <v>24430.911999999997</v>
      </c>
      <c r="AC45" s="2"/>
      <c r="AD45" s="13">
        <f t="shared" si="39"/>
        <v>24430.911999999997</v>
      </c>
    </row>
    <row r="46" spans="1:30" ht="21.75" customHeight="1" x14ac:dyDescent="0.2">
      <c r="A46" s="70" t="s">
        <v>61</v>
      </c>
      <c r="B46" s="73" t="s">
        <v>74</v>
      </c>
      <c r="C46" s="3" t="s">
        <v>121</v>
      </c>
      <c r="D46" s="49" t="s">
        <v>124</v>
      </c>
      <c r="E46" s="51">
        <v>19</v>
      </c>
      <c r="F46" s="2">
        <v>2.722</v>
      </c>
      <c r="G46" s="2">
        <v>7040</v>
      </c>
      <c r="H46" s="2">
        <f t="shared" si="6"/>
        <v>19162.88</v>
      </c>
      <c r="I46" s="2"/>
      <c r="J46" s="2">
        <v>10</v>
      </c>
      <c r="K46" s="2">
        <v>6</v>
      </c>
      <c r="L46" s="2"/>
      <c r="M46" s="2">
        <f t="shared" si="8"/>
        <v>16</v>
      </c>
      <c r="N46" s="2">
        <f t="shared" si="37"/>
        <v>0</v>
      </c>
      <c r="O46" s="2">
        <f t="shared" si="40"/>
        <v>10646.044444444444</v>
      </c>
      <c r="P46" s="2">
        <f t="shared" si="1"/>
        <v>6387.626666666667</v>
      </c>
      <c r="Q46" s="2"/>
      <c r="R46" s="12">
        <f t="shared" si="30"/>
        <v>17033.671111111111</v>
      </c>
      <c r="S46" s="2">
        <v>1400</v>
      </c>
      <c r="T46" s="11"/>
      <c r="U46" s="51">
        <v>5748.86</v>
      </c>
      <c r="V46" s="2"/>
      <c r="W46" s="2"/>
      <c r="X46" s="2"/>
      <c r="Y46" s="2"/>
      <c r="Z46" s="2"/>
      <c r="AA46" s="14"/>
      <c r="AB46" s="12">
        <f t="shared" si="38"/>
        <v>24182.531111111111</v>
      </c>
      <c r="AC46" s="2"/>
      <c r="AD46" s="56">
        <f>AB46+AB47</f>
        <v>26915.391111111112</v>
      </c>
    </row>
    <row r="47" spans="1:30" ht="21.75" customHeight="1" x14ac:dyDescent="0.2">
      <c r="A47" s="71"/>
      <c r="B47" s="74"/>
      <c r="C47" s="3" t="s">
        <v>122</v>
      </c>
      <c r="D47" s="78"/>
      <c r="E47" s="60"/>
      <c r="F47" s="2">
        <v>2.722</v>
      </c>
      <c r="G47" s="2">
        <v>7040</v>
      </c>
      <c r="H47" s="2">
        <f t="shared" si="6"/>
        <v>19162.88</v>
      </c>
      <c r="I47" s="2">
        <v>2</v>
      </c>
      <c r="J47" s="2"/>
      <c r="K47" s="2"/>
      <c r="L47" s="2"/>
      <c r="M47" s="2">
        <f t="shared" si="8"/>
        <v>2</v>
      </c>
      <c r="N47" s="2">
        <f t="shared" si="37"/>
        <v>2395.36</v>
      </c>
      <c r="O47" s="2">
        <f t="shared" si="40"/>
        <v>0</v>
      </c>
      <c r="P47" s="2">
        <f t="shared" si="1"/>
        <v>0</v>
      </c>
      <c r="Q47" s="2"/>
      <c r="R47" s="12">
        <f t="shared" si="30"/>
        <v>2395.36</v>
      </c>
      <c r="S47" s="2"/>
      <c r="T47" s="11">
        <f>2700/16*2</f>
        <v>337.5</v>
      </c>
      <c r="U47" s="60"/>
      <c r="V47" s="2"/>
      <c r="W47" s="2"/>
      <c r="X47" s="2"/>
      <c r="Y47" s="2"/>
      <c r="Z47" s="2"/>
      <c r="AA47" s="2"/>
      <c r="AB47" s="12">
        <f t="shared" si="38"/>
        <v>2732.86</v>
      </c>
      <c r="AC47" s="2"/>
      <c r="AD47" s="57"/>
    </row>
    <row r="48" spans="1:30" ht="41.25" x14ac:dyDescent="0.2">
      <c r="A48" s="9" t="s">
        <v>62</v>
      </c>
      <c r="B48" s="15" t="s">
        <v>125</v>
      </c>
      <c r="C48" s="3" t="s">
        <v>184</v>
      </c>
      <c r="D48" s="3" t="s">
        <v>110</v>
      </c>
      <c r="E48" s="2">
        <v>10</v>
      </c>
      <c r="F48" s="2">
        <v>2.722</v>
      </c>
      <c r="G48" s="2">
        <v>7040</v>
      </c>
      <c r="H48" s="2">
        <f t="shared" si="6"/>
        <v>19162.88</v>
      </c>
      <c r="I48" s="2"/>
      <c r="J48" s="2">
        <v>16</v>
      </c>
      <c r="K48" s="2">
        <v>8</v>
      </c>
      <c r="L48" s="2"/>
      <c r="M48" s="2">
        <f t="shared" si="8"/>
        <v>24</v>
      </c>
      <c r="N48" s="2">
        <f t="shared" si="37"/>
        <v>0</v>
      </c>
      <c r="O48" s="2">
        <f t="shared" si="40"/>
        <v>17033.671111111111</v>
      </c>
      <c r="P48" s="2">
        <f t="shared" si="1"/>
        <v>8516.8355555555554</v>
      </c>
      <c r="Q48" s="2"/>
      <c r="R48" s="12">
        <f t="shared" si="30"/>
        <v>25550.506666666668</v>
      </c>
      <c r="S48" s="2">
        <v>1400</v>
      </c>
      <c r="T48" s="11">
        <f>2700/18*13</f>
        <v>1950</v>
      </c>
      <c r="U48" s="14">
        <f>H48*20%</f>
        <v>3832.5760000000005</v>
      </c>
      <c r="V48" s="2"/>
      <c r="W48" s="2"/>
      <c r="X48" s="2"/>
      <c r="Y48" s="2"/>
      <c r="Z48" s="2"/>
      <c r="AA48" s="2"/>
      <c r="AB48" s="12">
        <f>U48+T48+S48+R48</f>
        <v>32733.082666666669</v>
      </c>
      <c r="AC48" s="2"/>
      <c r="AD48" s="13">
        <f t="shared" si="39"/>
        <v>32733.082666666669</v>
      </c>
    </row>
    <row r="49" spans="1:30" ht="45.75" customHeight="1" x14ac:dyDescent="0.2">
      <c r="A49" s="9" t="s">
        <v>63</v>
      </c>
      <c r="B49" s="15" t="s">
        <v>127</v>
      </c>
      <c r="C49" s="3" t="s">
        <v>84</v>
      </c>
      <c r="D49" s="3" t="s">
        <v>128</v>
      </c>
      <c r="E49" s="2">
        <v>17</v>
      </c>
      <c r="F49" s="2">
        <v>2.177</v>
      </c>
      <c r="G49" s="2">
        <v>7040</v>
      </c>
      <c r="H49" s="2">
        <f t="shared" si="6"/>
        <v>15326.08</v>
      </c>
      <c r="I49" s="2">
        <v>16</v>
      </c>
      <c r="J49" s="2"/>
      <c r="K49" s="2"/>
      <c r="L49" s="2"/>
      <c r="M49" s="2">
        <f t="shared" si="8"/>
        <v>16</v>
      </c>
      <c r="N49" s="2">
        <f t="shared" si="37"/>
        <v>15326.08</v>
      </c>
      <c r="O49" s="2">
        <f t="shared" si="40"/>
        <v>0</v>
      </c>
      <c r="P49" s="2">
        <f t="shared" si="1"/>
        <v>0</v>
      </c>
      <c r="Q49" s="2"/>
      <c r="R49" s="12">
        <f t="shared" si="30"/>
        <v>15326.08</v>
      </c>
      <c r="S49" s="2">
        <v>1400</v>
      </c>
      <c r="T49" s="11">
        <f>2700/16*8</f>
        <v>1350</v>
      </c>
      <c r="U49" s="14">
        <f>H49*30%</f>
        <v>4597.8239999999996</v>
      </c>
      <c r="V49" s="2"/>
      <c r="W49" s="2"/>
      <c r="X49" s="2"/>
      <c r="Y49" s="2"/>
      <c r="Z49" s="2"/>
      <c r="AA49" s="14"/>
      <c r="AB49" s="12">
        <f t="shared" ref="AB49:AB54" si="41">U49+T49+S49+R49</f>
        <v>22673.903999999999</v>
      </c>
      <c r="AC49" s="2"/>
      <c r="AD49" s="13">
        <f t="shared" ref="AD49:AD54" si="42">AB49</f>
        <v>22673.903999999999</v>
      </c>
    </row>
    <row r="50" spans="1:30" ht="44.25" customHeight="1" x14ac:dyDescent="0.2">
      <c r="A50" s="31" t="s">
        <v>64</v>
      </c>
      <c r="B50" s="32" t="s">
        <v>185</v>
      </c>
      <c r="C50" s="33" t="s">
        <v>174</v>
      </c>
      <c r="D50" s="33" t="s">
        <v>145</v>
      </c>
      <c r="E50" s="34">
        <v>5</v>
      </c>
      <c r="F50" s="2">
        <v>2.2679999999999998</v>
      </c>
      <c r="G50" s="2">
        <v>7040</v>
      </c>
      <c r="H50" s="2">
        <f t="shared" ref="H50:H51" si="43">G50*F50</f>
        <v>15966.72</v>
      </c>
      <c r="I50" s="2"/>
      <c r="J50" s="2">
        <v>18</v>
      </c>
      <c r="K50" s="2"/>
      <c r="L50" s="2"/>
      <c r="M50" s="2">
        <f t="shared" si="8"/>
        <v>18</v>
      </c>
      <c r="N50" s="2">
        <f t="shared" ref="N50:N51" si="44">H50/16*I50</f>
        <v>0</v>
      </c>
      <c r="O50" s="2">
        <f t="shared" si="40"/>
        <v>15966.72</v>
      </c>
      <c r="P50" s="2">
        <f t="shared" si="1"/>
        <v>0</v>
      </c>
      <c r="Q50" s="2"/>
      <c r="R50" s="12">
        <f t="shared" si="30"/>
        <v>15966.72</v>
      </c>
      <c r="S50" s="2"/>
      <c r="T50" s="11">
        <f>2700/18*12</f>
        <v>1800</v>
      </c>
      <c r="U50" s="14">
        <f>H50*10%</f>
        <v>1596.672</v>
      </c>
      <c r="V50" s="2"/>
      <c r="W50" s="2"/>
      <c r="X50" s="2"/>
      <c r="Y50" s="2"/>
      <c r="Z50" s="2"/>
      <c r="AA50" s="14"/>
      <c r="AB50" s="12">
        <f t="shared" ref="AB50" si="45">R50+S50+T50+U50+V50</f>
        <v>19363.392</v>
      </c>
      <c r="AC50" s="2"/>
      <c r="AD50" s="13">
        <f t="shared" si="42"/>
        <v>19363.392</v>
      </c>
    </row>
    <row r="51" spans="1:30" ht="41.25" x14ac:dyDescent="0.2">
      <c r="A51" s="9" t="s">
        <v>65</v>
      </c>
      <c r="B51" s="15" t="s">
        <v>186</v>
      </c>
      <c r="C51" s="3" t="s">
        <v>170</v>
      </c>
      <c r="D51" s="3" t="s">
        <v>137</v>
      </c>
      <c r="E51" s="2">
        <v>4</v>
      </c>
      <c r="F51" s="2">
        <v>2.0419999999999998</v>
      </c>
      <c r="G51" s="2">
        <v>7040</v>
      </c>
      <c r="H51" s="2">
        <f t="shared" si="43"/>
        <v>14375.679999999998</v>
      </c>
      <c r="I51" s="2"/>
      <c r="J51" s="2">
        <v>18</v>
      </c>
      <c r="K51" s="2"/>
      <c r="L51" s="2"/>
      <c r="M51" s="2">
        <f t="shared" si="8"/>
        <v>18</v>
      </c>
      <c r="N51" s="2">
        <f t="shared" si="44"/>
        <v>0</v>
      </c>
      <c r="O51" s="2">
        <f t="shared" si="40"/>
        <v>14375.679999999998</v>
      </c>
      <c r="P51" s="2">
        <f t="shared" si="1"/>
        <v>0</v>
      </c>
      <c r="Q51" s="2"/>
      <c r="R51" s="12">
        <f t="shared" si="30"/>
        <v>14375.679999999998</v>
      </c>
      <c r="S51" s="2"/>
      <c r="T51" s="11"/>
      <c r="U51" s="14">
        <f>H51*10%</f>
        <v>1437.568</v>
      </c>
      <c r="V51" s="2"/>
      <c r="W51" s="2"/>
      <c r="X51" s="2"/>
      <c r="Y51" s="2"/>
      <c r="Z51" s="2"/>
      <c r="AA51" s="2"/>
      <c r="AB51" s="12">
        <f t="shared" ref="AB51" si="46">U51+T51+S51+R51</f>
        <v>15813.247999999998</v>
      </c>
      <c r="AC51" s="2"/>
      <c r="AD51" s="13">
        <f t="shared" ref="AD51" si="47">AB51</f>
        <v>15813.247999999998</v>
      </c>
    </row>
    <row r="52" spans="1:30" ht="27.75" x14ac:dyDescent="0.2">
      <c r="A52" s="9" t="s">
        <v>66</v>
      </c>
      <c r="B52" s="15" t="s">
        <v>129</v>
      </c>
      <c r="C52" s="3" t="s">
        <v>84</v>
      </c>
      <c r="D52" s="3" t="s">
        <v>137</v>
      </c>
      <c r="E52" s="2">
        <v>9</v>
      </c>
      <c r="F52" s="2">
        <v>2.4510000000000001</v>
      </c>
      <c r="G52" s="2">
        <v>7040</v>
      </c>
      <c r="H52" s="2">
        <f t="shared" si="6"/>
        <v>17255.04</v>
      </c>
      <c r="I52" s="2">
        <v>16</v>
      </c>
      <c r="J52" s="2"/>
      <c r="K52" s="2"/>
      <c r="L52" s="2"/>
      <c r="M52" s="2">
        <f t="shared" si="8"/>
        <v>16</v>
      </c>
      <c r="N52" s="2">
        <f t="shared" si="37"/>
        <v>17255.04</v>
      </c>
      <c r="O52" s="2">
        <f t="shared" si="40"/>
        <v>0</v>
      </c>
      <c r="P52" s="2">
        <f t="shared" si="1"/>
        <v>0</v>
      </c>
      <c r="Q52" s="2"/>
      <c r="R52" s="12">
        <f t="shared" si="30"/>
        <v>17255.04</v>
      </c>
      <c r="S52" s="2">
        <v>1400</v>
      </c>
      <c r="T52" s="11">
        <f>2700/16*8</f>
        <v>1350</v>
      </c>
      <c r="U52" s="14">
        <f>H52*20%</f>
        <v>3451.0080000000003</v>
      </c>
      <c r="V52" s="2"/>
      <c r="W52" s="2"/>
      <c r="X52" s="2"/>
      <c r="Y52" s="2"/>
      <c r="Z52" s="2"/>
      <c r="AA52" s="2"/>
      <c r="AB52" s="12">
        <f t="shared" si="41"/>
        <v>23456.048000000003</v>
      </c>
      <c r="AC52" s="2"/>
      <c r="AD52" s="13">
        <f t="shared" si="42"/>
        <v>23456.048000000003</v>
      </c>
    </row>
    <row r="53" spans="1:30" ht="41.25" x14ac:dyDescent="0.2">
      <c r="A53" s="9" t="s">
        <v>67</v>
      </c>
      <c r="B53" s="15" t="s">
        <v>131</v>
      </c>
      <c r="C53" s="3" t="s">
        <v>41</v>
      </c>
      <c r="D53" s="3" t="s">
        <v>132</v>
      </c>
      <c r="E53" s="2">
        <v>35</v>
      </c>
      <c r="F53" s="2">
        <v>2.6080000000000001</v>
      </c>
      <c r="G53" s="2">
        <v>7040</v>
      </c>
      <c r="H53" s="2">
        <f t="shared" si="6"/>
        <v>18360.32</v>
      </c>
      <c r="I53" s="2"/>
      <c r="J53" s="2">
        <v>11</v>
      </c>
      <c r="K53" s="2">
        <v>10</v>
      </c>
      <c r="L53" s="2"/>
      <c r="M53" s="2">
        <f t="shared" si="8"/>
        <v>21</v>
      </c>
      <c r="N53" s="2">
        <f t="shared" si="37"/>
        <v>0</v>
      </c>
      <c r="O53" s="14">
        <f t="shared" si="40"/>
        <v>11220.195555555554</v>
      </c>
      <c r="P53" s="14">
        <f t="shared" si="1"/>
        <v>10200.177777777777</v>
      </c>
      <c r="Q53" s="14"/>
      <c r="R53" s="12">
        <f t="shared" si="30"/>
        <v>21420.373333333329</v>
      </c>
      <c r="S53" s="2">
        <v>1400</v>
      </c>
      <c r="T53" s="11">
        <f>2700/18*12</f>
        <v>1800</v>
      </c>
      <c r="U53" s="14">
        <f>H53*30%</f>
        <v>5508.0959999999995</v>
      </c>
      <c r="V53" s="2"/>
      <c r="W53" s="2"/>
      <c r="X53" s="2"/>
      <c r="Y53" s="2"/>
      <c r="Z53" s="2"/>
      <c r="AA53" s="14"/>
      <c r="AB53" s="12">
        <f t="shared" si="41"/>
        <v>30128.469333333327</v>
      </c>
      <c r="AC53" s="2"/>
      <c r="AD53" s="13">
        <f t="shared" si="42"/>
        <v>30128.469333333327</v>
      </c>
    </row>
    <row r="54" spans="1:30" ht="27.75" x14ac:dyDescent="0.2">
      <c r="A54" s="9" t="s">
        <v>68</v>
      </c>
      <c r="B54" s="15" t="s">
        <v>133</v>
      </c>
      <c r="C54" s="3" t="s">
        <v>134</v>
      </c>
      <c r="D54" s="3" t="s">
        <v>96</v>
      </c>
      <c r="E54" s="2">
        <v>9</v>
      </c>
      <c r="F54" s="2">
        <v>2.2679999999999998</v>
      </c>
      <c r="G54" s="2">
        <v>7040</v>
      </c>
      <c r="H54" s="2">
        <f t="shared" si="6"/>
        <v>15966.72</v>
      </c>
      <c r="I54" s="2"/>
      <c r="J54" s="2">
        <v>14</v>
      </c>
      <c r="K54" s="2">
        <v>6</v>
      </c>
      <c r="L54" s="2"/>
      <c r="M54" s="2">
        <f t="shared" si="8"/>
        <v>20</v>
      </c>
      <c r="N54" s="2">
        <f t="shared" si="37"/>
        <v>0</v>
      </c>
      <c r="O54" s="2">
        <f t="shared" si="40"/>
        <v>12418.56</v>
      </c>
      <c r="P54" s="2">
        <f t="shared" si="1"/>
        <v>5322.24</v>
      </c>
      <c r="Q54" s="2"/>
      <c r="R54" s="12">
        <f t="shared" si="30"/>
        <v>17740.8</v>
      </c>
      <c r="S54" s="2"/>
      <c r="T54" s="11"/>
      <c r="U54" s="14">
        <f>H54*20%</f>
        <v>3193.3440000000001</v>
      </c>
      <c r="V54" s="11"/>
      <c r="W54" s="2"/>
      <c r="X54" s="2"/>
      <c r="Y54" s="2"/>
      <c r="Z54" s="2"/>
      <c r="AA54" s="2"/>
      <c r="AB54" s="12">
        <f t="shared" si="41"/>
        <v>20934.144</v>
      </c>
      <c r="AC54" s="2"/>
      <c r="AD54" s="13">
        <f t="shared" si="42"/>
        <v>20934.144</v>
      </c>
    </row>
    <row r="55" spans="1:30" ht="30" customHeight="1" x14ac:dyDescent="0.2">
      <c r="A55" s="70" t="s">
        <v>161</v>
      </c>
      <c r="B55" s="73" t="s">
        <v>136</v>
      </c>
      <c r="C55" s="3" t="s">
        <v>100</v>
      </c>
      <c r="D55" s="49" t="s">
        <v>137</v>
      </c>
      <c r="E55" s="51">
        <v>4</v>
      </c>
      <c r="F55" s="2">
        <v>2.4510000000000001</v>
      </c>
      <c r="G55" s="2">
        <v>7040</v>
      </c>
      <c r="H55" s="2">
        <f t="shared" si="6"/>
        <v>17255.04</v>
      </c>
      <c r="I55" s="2">
        <v>4</v>
      </c>
      <c r="J55" s="2"/>
      <c r="K55" s="2"/>
      <c r="L55" s="2"/>
      <c r="M55" s="2">
        <f t="shared" si="8"/>
        <v>4</v>
      </c>
      <c r="N55" s="2">
        <f>H55/16*I55</f>
        <v>4313.76</v>
      </c>
      <c r="O55" s="2">
        <f t="shared" si="40"/>
        <v>0</v>
      </c>
      <c r="P55" s="2">
        <f t="shared" si="1"/>
        <v>0</v>
      </c>
      <c r="Q55" s="2"/>
      <c r="R55" s="12">
        <f t="shared" si="30"/>
        <v>4313.76</v>
      </c>
      <c r="S55" s="2"/>
      <c r="T55" s="11">
        <f>2700/16*4</f>
        <v>675</v>
      </c>
      <c r="U55" s="58">
        <v>1509.55</v>
      </c>
      <c r="V55" s="2"/>
      <c r="W55" s="2"/>
      <c r="X55" s="2"/>
      <c r="Y55" s="2"/>
      <c r="Z55" s="2"/>
      <c r="AA55" s="2"/>
      <c r="AB55" s="12">
        <f>R55+S55+T55+U55</f>
        <v>6498.31</v>
      </c>
      <c r="AC55" s="2"/>
      <c r="AD55" s="56">
        <f>AB55+AB56</f>
        <v>19779.394444444442</v>
      </c>
    </row>
    <row r="56" spans="1:30" ht="23.25" customHeight="1" x14ac:dyDescent="0.2">
      <c r="A56" s="71"/>
      <c r="B56" s="74"/>
      <c r="C56" s="3" t="s">
        <v>99</v>
      </c>
      <c r="D56" s="78"/>
      <c r="E56" s="60"/>
      <c r="F56" s="2">
        <v>2.0419999999999998</v>
      </c>
      <c r="G56" s="2">
        <v>7040</v>
      </c>
      <c r="H56" s="2">
        <f t="shared" si="6"/>
        <v>14375.679999999998</v>
      </c>
      <c r="I56" s="2"/>
      <c r="J56" s="2">
        <v>14</v>
      </c>
      <c r="K56" s="2"/>
      <c r="L56" s="2"/>
      <c r="M56" s="2">
        <f t="shared" si="8"/>
        <v>14</v>
      </c>
      <c r="N56" s="2">
        <f t="shared" si="37"/>
        <v>0</v>
      </c>
      <c r="O56" s="14">
        <f t="shared" si="40"/>
        <v>11181.084444444443</v>
      </c>
      <c r="P56" s="2">
        <f t="shared" si="1"/>
        <v>0</v>
      </c>
      <c r="Q56" s="2"/>
      <c r="R56" s="12">
        <f t="shared" si="30"/>
        <v>11181.084444444443</v>
      </c>
      <c r="S56" s="2"/>
      <c r="T56" s="11">
        <f>2700/18*14</f>
        <v>2100</v>
      </c>
      <c r="U56" s="59"/>
      <c r="V56" s="2"/>
      <c r="W56" s="2"/>
      <c r="X56" s="2"/>
      <c r="Y56" s="2"/>
      <c r="Z56" s="2"/>
      <c r="AA56" s="2"/>
      <c r="AB56" s="12">
        <f>R56+S56+T56</f>
        <v>13281.084444444443</v>
      </c>
      <c r="AC56" s="2"/>
      <c r="AD56" s="57"/>
    </row>
    <row r="57" spans="1:30" ht="29.25" customHeight="1" x14ac:dyDescent="0.2">
      <c r="A57" s="70" t="s">
        <v>162</v>
      </c>
      <c r="B57" s="73" t="s">
        <v>138</v>
      </c>
      <c r="C57" s="3" t="s">
        <v>41</v>
      </c>
      <c r="D57" s="49" t="s">
        <v>123</v>
      </c>
      <c r="E57" s="51">
        <v>20</v>
      </c>
      <c r="F57" s="2">
        <v>2.6080000000000001</v>
      </c>
      <c r="G57" s="2">
        <v>7040</v>
      </c>
      <c r="H57" s="2">
        <f t="shared" si="6"/>
        <v>18360.32</v>
      </c>
      <c r="I57" s="2"/>
      <c r="J57" s="2">
        <v>9</v>
      </c>
      <c r="K57" s="2">
        <v>4</v>
      </c>
      <c r="L57" s="2"/>
      <c r="M57" s="2">
        <f t="shared" si="8"/>
        <v>13</v>
      </c>
      <c r="N57" s="2">
        <f t="shared" si="37"/>
        <v>0</v>
      </c>
      <c r="O57" s="14">
        <f t="shared" si="40"/>
        <v>9180.16</v>
      </c>
      <c r="P57" s="2">
        <f t="shared" si="1"/>
        <v>4080.0711111111109</v>
      </c>
      <c r="Q57" s="2"/>
      <c r="R57" s="12">
        <f t="shared" si="30"/>
        <v>13260.23111111111</v>
      </c>
      <c r="S57" s="2">
        <v>1400</v>
      </c>
      <c r="T57" s="11">
        <f>2700/18*10</f>
        <v>1500</v>
      </c>
      <c r="U57" s="51">
        <v>6128.23</v>
      </c>
      <c r="V57" s="2"/>
      <c r="W57" s="2"/>
      <c r="X57" s="2"/>
      <c r="Y57" s="2"/>
      <c r="Z57" s="2"/>
      <c r="AA57" s="14"/>
      <c r="AB57" s="12">
        <f>R57+S57+T57+U57</f>
        <v>22288.461111111108</v>
      </c>
      <c r="AC57" s="2"/>
      <c r="AD57" s="56">
        <f>AB57+AB58</f>
        <v>36202.011111111111</v>
      </c>
    </row>
    <row r="58" spans="1:30" ht="29.25" customHeight="1" x14ac:dyDescent="0.2">
      <c r="A58" s="79"/>
      <c r="B58" s="77"/>
      <c r="C58" s="3" t="s">
        <v>139</v>
      </c>
      <c r="D58" s="50"/>
      <c r="E58" s="52"/>
      <c r="F58" s="17">
        <v>3.13</v>
      </c>
      <c r="G58" s="2">
        <v>7040</v>
      </c>
      <c r="H58" s="2">
        <f t="shared" si="6"/>
        <v>22035.200000000001</v>
      </c>
      <c r="I58" s="2">
        <v>9</v>
      </c>
      <c r="J58" s="2"/>
      <c r="K58" s="2"/>
      <c r="L58" s="2"/>
      <c r="M58" s="2">
        <f t="shared" si="8"/>
        <v>9</v>
      </c>
      <c r="N58" s="2">
        <f t="shared" ref="N58" si="48">H58/16*I58</f>
        <v>12394.800000000001</v>
      </c>
      <c r="O58" s="2">
        <f t="shared" si="40"/>
        <v>0</v>
      </c>
      <c r="P58" s="2">
        <f t="shared" si="1"/>
        <v>0</v>
      </c>
      <c r="Q58" s="2"/>
      <c r="R58" s="12">
        <f t="shared" si="30"/>
        <v>12394.800000000001</v>
      </c>
      <c r="S58" s="2"/>
      <c r="T58" s="11">
        <f>2700/16*9</f>
        <v>1518.75</v>
      </c>
      <c r="U58" s="60"/>
      <c r="V58" s="2"/>
      <c r="W58" s="2"/>
      <c r="X58" s="2"/>
      <c r="Y58" s="2"/>
      <c r="Z58" s="2"/>
      <c r="AA58" s="14"/>
      <c r="AB58" s="12">
        <f>R58+S58+T58</f>
        <v>13913.550000000001</v>
      </c>
      <c r="AC58" s="2"/>
      <c r="AD58" s="57"/>
    </row>
    <row r="59" spans="1:30" ht="27.75" x14ac:dyDescent="0.2">
      <c r="A59" s="70" t="s">
        <v>163</v>
      </c>
      <c r="B59" s="73" t="s">
        <v>143</v>
      </c>
      <c r="C59" s="3" t="s">
        <v>187</v>
      </c>
      <c r="D59" s="49" t="s">
        <v>145</v>
      </c>
      <c r="E59" s="51">
        <v>8</v>
      </c>
      <c r="F59" s="2">
        <v>2.2679999999999998</v>
      </c>
      <c r="G59" s="2">
        <v>7040</v>
      </c>
      <c r="H59" s="2">
        <f t="shared" si="6"/>
        <v>15966.72</v>
      </c>
      <c r="I59" s="2"/>
      <c r="J59" s="2">
        <v>2</v>
      </c>
      <c r="K59" s="2">
        <v>4</v>
      </c>
      <c r="L59" s="2"/>
      <c r="M59" s="2">
        <f t="shared" si="8"/>
        <v>6</v>
      </c>
      <c r="N59" s="2">
        <f t="shared" si="37"/>
        <v>0</v>
      </c>
      <c r="O59" s="2">
        <f t="shared" si="40"/>
        <v>1774.08</v>
      </c>
      <c r="P59" s="2">
        <f t="shared" si="1"/>
        <v>3548.16</v>
      </c>
      <c r="Q59" s="2"/>
      <c r="R59" s="12">
        <f t="shared" si="30"/>
        <v>5322.24</v>
      </c>
      <c r="S59" s="2"/>
      <c r="T59" s="2"/>
      <c r="U59" s="14">
        <v>3406.58</v>
      </c>
      <c r="V59" s="12"/>
      <c r="W59" s="2"/>
      <c r="X59" s="2"/>
      <c r="Y59" s="2"/>
      <c r="Z59" s="2"/>
      <c r="AA59" s="2"/>
      <c r="AB59" s="12">
        <f>U59+T59+S59+R59+V59</f>
        <v>8728.82</v>
      </c>
      <c r="AC59" s="2"/>
      <c r="AD59" s="56">
        <f>AB59+AB60</f>
        <v>20439.468888888889</v>
      </c>
    </row>
    <row r="60" spans="1:30" x14ac:dyDescent="0.2">
      <c r="A60" s="71"/>
      <c r="B60" s="74"/>
      <c r="C60" s="3" t="s">
        <v>45</v>
      </c>
      <c r="D60" s="78"/>
      <c r="E60" s="60"/>
      <c r="F60" s="2">
        <v>2.722</v>
      </c>
      <c r="G60" s="2">
        <v>7040</v>
      </c>
      <c r="H60" s="2">
        <f t="shared" si="6"/>
        <v>19162.88</v>
      </c>
      <c r="I60" s="2"/>
      <c r="J60" s="2">
        <v>11</v>
      </c>
      <c r="K60" s="2"/>
      <c r="L60" s="2"/>
      <c r="M60" s="2">
        <f t="shared" si="8"/>
        <v>11</v>
      </c>
      <c r="N60" s="2">
        <f t="shared" si="37"/>
        <v>0</v>
      </c>
      <c r="O60" s="2">
        <f t="shared" si="40"/>
        <v>11710.648888888889</v>
      </c>
      <c r="P60" s="2"/>
      <c r="Q60" s="2"/>
      <c r="R60" s="12">
        <f t="shared" si="30"/>
        <v>11710.648888888889</v>
      </c>
      <c r="S60" s="2"/>
      <c r="T60" s="2"/>
      <c r="U60" s="2"/>
      <c r="V60" s="2"/>
      <c r="W60" s="2"/>
      <c r="X60" s="2"/>
      <c r="Y60" s="2"/>
      <c r="Z60" s="2"/>
      <c r="AA60" s="2"/>
      <c r="AB60" s="12">
        <f>U60+T60+S60+R60</f>
        <v>11710.648888888889</v>
      </c>
      <c r="AC60" s="2"/>
      <c r="AD60" s="57"/>
    </row>
    <row r="61" spans="1:30" ht="27.75" x14ac:dyDescent="0.2">
      <c r="A61" s="9" t="s">
        <v>164</v>
      </c>
      <c r="B61" s="15" t="s">
        <v>146</v>
      </c>
      <c r="C61" s="3" t="s">
        <v>126</v>
      </c>
      <c r="D61" s="3" t="s">
        <v>110</v>
      </c>
      <c r="E61" s="2">
        <v>12</v>
      </c>
      <c r="F61" s="2">
        <v>2.722</v>
      </c>
      <c r="G61" s="2">
        <v>7040</v>
      </c>
      <c r="H61" s="2">
        <f t="shared" ref="H61" si="49">G61*F61</f>
        <v>19162.88</v>
      </c>
      <c r="I61" s="2"/>
      <c r="J61" s="2">
        <v>20</v>
      </c>
      <c r="K61" s="2">
        <v>4</v>
      </c>
      <c r="L61" s="2"/>
      <c r="M61" s="2">
        <f t="shared" si="8"/>
        <v>24</v>
      </c>
      <c r="N61" s="2">
        <f t="shared" ref="N61" si="50">H61/16*I61</f>
        <v>0</v>
      </c>
      <c r="O61" s="2">
        <f t="shared" si="40"/>
        <v>21292.088888888888</v>
      </c>
      <c r="P61" s="2">
        <f>H61/18*K61</f>
        <v>4258.4177777777777</v>
      </c>
      <c r="Q61" s="2"/>
      <c r="R61" s="12">
        <f t="shared" si="30"/>
        <v>25550.506666666664</v>
      </c>
      <c r="S61" s="2">
        <v>1400</v>
      </c>
      <c r="T61" s="11">
        <f>2700/18*16</f>
        <v>2400</v>
      </c>
      <c r="U61" s="14">
        <f>H61*20%</f>
        <v>3832.5760000000005</v>
      </c>
      <c r="V61" s="2"/>
      <c r="W61" s="2"/>
      <c r="X61" s="2"/>
      <c r="Y61" s="2"/>
      <c r="Z61" s="2"/>
      <c r="AA61" s="2"/>
      <c r="AB61" s="12">
        <f t="shared" ref="AB61" si="51">U61+T61+S61+R61</f>
        <v>33183.082666666669</v>
      </c>
      <c r="AC61" s="2"/>
      <c r="AD61" s="13">
        <f t="shared" ref="AD61" si="52">AB61</f>
        <v>33183.082666666669</v>
      </c>
    </row>
    <row r="62" spans="1:30" ht="41.25" x14ac:dyDescent="0.2">
      <c r="A62" s="9" t="s">
        <v>165</v>
      </c>
      <c r="B62" s="15" t="s">
        <v>135</v>
      </c>
      <c r="C62" s="3" t="s">
        <v>188</v>
      </c>
      <c r="D62" s="3" t="s">
        <v>110</v>
      </c>
      <c r="E62" s="2">
        <v>17</v>
      </c>
      <c r="F62" s="2">
        <v>2.722</v>
      </c>
      <c r="G62" s="2">
        <v>7040</v>
      </c>
      <c r="H62" s="2">
        <f t="shared" ref="H62:H63" si="53">G62*F62</f>
        <v>19162.88</v>
      </c>
      <c r="I62" s="2">
        <v>15</v>
      </c>
      <c r="J62" s="2"/>
      <c r="K62" s="2"/>
      <c r="L62" s="2"/>
      <c r="M62" s="2">
        <f t="shared" si="8"/>
        <v>15</v>
      </c>
      <c r="N62" s="2">
        <f t="shared" ref="N62:N63" si="54">H62/16*I62</f>
        <v>17965.2</v>
      </c>
      <c r="O62" s="2">
        <f t="shared" si="40"/>
        <v>0</v>
      </c>
      <c r="P62" s="2">
        <f>H62/18*K62</f>
        <v>0</v>
      </c>
      <c r="Q62" s="2"/>
      <c r="R62" s="12">
        <f t="shared" si="30"/>
        <v>17965.2</v>
      </c>
      <c r="S62" s="2"/>
      <c r="T62" s="11"/>
      <c r="U62" s="14">
        <v>5638.51</v>
      </c>
      <c r="V62" s="12">
        <f>(7040*1.886)/20*9</f>
        <v>5974.848</v>
      </c>
      <c r="W62" s="2"/>
      <c r="X62" s="2"/>
      <c r="Y62" s="2"/>
      <c r="Z62" s="2"/>
      <c r="AA62" s="2"/>
      <c r="AB62" s="12">
        <f>U62+T62+S62+R62+V62</f>
        <v>29578.557999999997</v>
      </c>
      <c r="AC62" s="2"/>
      <c r="AD62" s="13">
        <f t="shared" ref="AD62" si="55">AB62</f>
        <v>29578.557999999997</v>
      </c>
    </row>
    <row r="63" spans="1:30" ht="33" customHeight="1" x14ac:dyDescent="0.2">
      <c r="A63" s="37" t="s">
        <v>166</v>
      </c>
      <c r="B63" s="38" t="s">
        <v>140</v>
      </c>
      <c r="C63" s="3" t="s">
        <v>188</v>
      </c>
      <c r="D63" s="39" t="s">
        <v>123</v>
      </c>
      <c r="E63" s="40">
        <v>12</v>
      </c>
      <c r="F63" s="2">
        <v>2.722</v>
      </c>
      <c r="G63" s="2">
        <v>7040</v>
      </c>
      <c r="H63" s="2">
        <f t="shared" si="53"/>
        <v>19162.88</v>
      </c>
      <c r="I63" s="2">
        <v>15</v>
      </c>
      <c r="J63" s="2"/>
      <c r="K63" s="2"/>
      <c r="L63" s="2"/>
      <c r="M63" s="2">
        <f t="shared" si="8"/>
        <v>15</v>
      </c>
      <c r="N63" s="2">
        <f t="shared" si="54"/>
        <v>17965.2</v>
      </c>
      <c r="O63" s="2">
        <f t="shared" si="40"/>
        <v>0</v>
      </c>
      <c r="P63" s="2">
        <f>H63/18*K63</f>
        <v>0</v>
      </c>
      <c r="Q63" s="2"/>
      <c r="R63" s="12">
        <f t="shared" si="30"/>
        <v>17965.2</v>
      </c>
      <c r="S63" s="2"/>
      <c r="T63" s="11"/>
      <c r="U63" s="14">
        <v>3759.01</v>
      </c>
      <c r="V63" s="12">
        <f>(7040*1.886)/20*9</f>
        <v>5974.848</v>
      </c>
      <c r="W63" s="2"/>
      <c r="X63" s="2"/>
      <c r="Y63" s="2"/>
      <c r="Z63" s="2"/>
      <c r="AA63" s="14"/>
      <c r="AB63" s="12">
        <f>V63+U63+R63</f>
        <v>27699.058000000001</v>
      </c>
      <c r="AC63" s="2"/>
      <c r="AD63" s="12">
        <f>V63+U63+R63</f>
        <v>27699.058000000001</v>
      </c>
    </row>
    <row r="64" spans="1:30" ht="44.25" customHeight="1" x14ac:dyDescent="0.2">
      <c r="A64" s="9" t="s">
        <v>167</v>
      </c>
      <c r="B64" s="15" t="s">
        <v>71</v>
      </c>
      <c r="C64" s="3" t="s">
        <v>189</v>
      </c>
      <c r="D64" s="3" t="s">
        <v>137</v>
      </c>
      <c r="E64" s="2">
        <v>6</v>
      </c>
      <c r="F64" s="2">
        <v>1.8859999999999999</v>
      </c>
      <c r="G64" s="2">
        <v>7040</v>
      </c>
      <c r="H64" s="2">
        <f t="shared" si="6"/>
        <v>13277.439999999999</v>
      </c>
      <c r="I64" s="2"/>
      <c r="J64" s="2"/>
      <c r="K64" s="2"/>
      <c r="L64" s="2"/>
      <c r="M64" s="2">
        <f t="shared" si="8"/>
        <v>0</v>
      </c>
      <c r="N64" s="2">
        <f t="shared" si="37"/>
        <v>0</v>
      </c>
      <c r="O64" s="2">
        <f t="shared" si="40"/>
        <v>0</v>
      </c>
      <c r="P64" s="2">
        <f>H64/18*K64</f>
        <v>0</v>
      </c>
      <c r="Q64" s="2"/>
      <c r="R64" s="12">
        <f t="shared" si="30"/>
        <v>0</v>
      </c>
      <c r="S64" s="2"/>
      <c r="T64" s="11"/>
      <c r="U64" s="2"/>
      <c r="V64" s="12">
        <f>(7040*1.886)/20*10</f>
        <v>6638.7199999999993</v>
      </c>
      <c r="W64" s="2"/>
      <c r="X64" s="2"/>
      <c r="Y64" s="2"/>
      <c r="Z64" s="2"/>
      <c r="AA64" s="2"/>
      <c r="AB64" s="12">
        <f>U64+T64+S64+R64+V64</f>
        <v>6638.7199999999993</v>
      </c>
      <c r="AC64" s="2"/>
      <c r="AD64" s="13">
        <f t="shared" ref="AD64" si="56">AB64</f>
        <v>6638.7199999999993</v>
      </c>
    </row>
    <row r="65" spans="1:30" s="21" customFormat="1" x14ac:dyDescent="0.2">
      <c r="A65" s="18"/>
      <c r="B65" s="80" t="s">
        <v>33</v>
      </c>
      <c r="C65" s="81"/>
      <c r="D65" s="19"/>
      <c r="E65" s="19"/>
      <c r="F65" s="19"/>
      <c r="G65" s="19"/>
      <c r="H65" s="20"/>
      <c r="I65" s="30">
        <f t="shared" ref="I65:P65" si="57">SUM(I13:I64)</f>
        <v>273</v>
      </c>
      <c r="J65" s="30">
        <f t="shared" si="57"/>
        <v>384</v>
      </c>
      <c r="K65" s="30">
        <f t="shared" si="57"/>
        <v>90</v>
      </c>
      <c r="L65" s="30">
        <f t="shared" si="57"/>
        <v>6</v>
      </c>
      <c r="M65" s="30">
        <f t="shared" si="57"/>
        <v>753</v>
      </c>
      <c r="N65" s="30">
        <f t="shared" si="57"/>
        <v>314940.12</v>
      </c>
      <c r="O65" s="30">
        <f t="shared" si="57"/>
        <v>359437.75999999995</v>
      </c>
      <c r="P65" s="30">
        <f t="shared" si="57"/>
        <v>87022.222222222234</v>
      </c>
      <c r="Q65" s="30">
        <f>Q16+Q32</f>
        <v>5747.28</v>
      </c>
      <c r="R65" s="30">
        <f t="shared" ref="R65:AD65" si="58">SUM(R13:R64)</f>
        <v>767147.38222222228</v>
      </c>
      <c r="S65" s="30">
        <f t="shared" si="58"/>
        <v>36400</v>
      </c>
      <c r="T65" s="30">
        <f t="shared" si="58"/>
        <v>49537.5</v>
      </c>
      <c r="U65" s="30">
        <f t="shared" si="58"/>
        <v>147956.92200000002</v>
      </c>
      <c r="V65" s="30">
        <f t="shared" si="58"/>
        <v>33193.599999999999</v>
      </c>
      <c r="W65" s="30">
        <f t="shared" si="58"/>
        <v>0</v>
      </c>
      <c r="X65" s="30">
        <f t="shared" si="58"/>
        <v>0</v>
      </c>
      <c r="Y65" s="30">
        <f t="shared" si="58"/>
        <v>0</v>
      </c>
      <c r="Z65" s="30">
        <f t="shared" si="58"/>
        <v>0</v>
      </c>
      <c r="AA65" s="30">
        <f t="shared" si="58"/>
        <v>0</v>
      </c>
      <c r="AB65" s="30">
        <f t="shared" si="58"/>
        <v>1034235.4042222222</v>
      </c>
      <c r="AC65" s="30">
        <f t="shared" si="58"/>
        <v>0</v>
      </c>
      <c r="AD65" s="30">
        <f t="shared" si="58"/>
        <v>1034235.4042222223</v>
      </c>
    </row>
    <row r="66" spans="1:30" s="21" customFormat="1" ht="16.5" customHeight="1" x14ac:dyDescent="0.2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26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</row>
    <row r="67" spans="1:30" x14ac:dyDescent="0.2">
      <c r="C67" s="28" t="s">
        <v>34</v>
      </c>
      <c r="D67" s="28"/>
      <c r="E67" s="28"/>
      <c r="F67" s="28"/>
      <c r="H67" s="21"/>
      <c r="I67" s="21"/>
      <c r="J67" s="21"/>
      <c r="K67" s="21"/>
      <c r="L67" s="21"/>
      <c r="M67" s="21"/>
      <c r="N67" s="21"/>
      <c r="O67" s="21" t="s">
        <v>35</v>
      </c>
      <c r="P67" s="21"/>
      <c r="Q67" s="21"/>
      <c r="R67" s="21"/>
      <c r="T67" s="21"/>
    </row>
    <row r="68" spans="1:30" ht="27" customHeight="1" x14ac:dyDescent="0.2">
      <c r="C68" s="28" t="s">
        <v>36</v>
      </c>
      <c r="D68" s="28"/>
      <c r="E68" s="28"/>
      <c r="F68" s="28"/>
      <c r="H68" s="21"/>
      <c r="I68" s="21"/>
      <c r="J68" s="21"/>
      <c r="K68" s="21"/>
      <c r="L68" s="21"/>
      <c r="M68" s="21"/>
      <c r="N68" s="21"/>
      <c r="O68" s="21" t="s">
        <v>171</v>
      </c>
      <c r="P68" s="21"/>
      <c r="Q68" s="21"/>
      <c r="R68" s="21"/>
      <c r="T68" s="21"/>
    </row>
    <row r="69" spans="1:30" ht="24.75" customHeight="1" x14ac:dyDescent="0.2">
      <c r="C69" s="21" t="s">
        <v>37</v>
      </c>
      <c r="D69" s="28"/>
      <c r="E69" s="28"/>
      <c r="F69" s="28"/>
      <c r="H69" s="21"/>
      <c r="I69" s="21"/>
      <c r="J69" s="21"/>
      <c r="K69" s="21"/>
      <c r="L69" s="21"/>
      <c r="M69" s="21"/>
      <c r="N69" s="21"/>
      <c r="O69" s="21" t="s">
        <v>190</v>
      </c>
      <c r="P69" s="21"/>
      <c r="Q69" s="21"/>
      <c r="R69" s="21"/>
      <c r="T69" s="21"/>
    </row>
    <row r="70" spans="1:30" ht="26.25" customHeight="1" x14ac:dyDescent="0.2">
      <c r="C70" s="21" t="s">
        <v>152</v>
      </c>
      <c r="D70" s="21"/>
      <c r="E70" s="21"/>
      <c r="F70" s="21"/>
      <c r="H70" s="21"/>
      <c r="I70" s="21"/>
      <c r="J70" s="21"/>
      <c r="K70" s="21"/>
      <c r="L70" s="21"/>
      <c r="M70" s="21"/>
      <c r="N70" s="21"/>
      <c r="O70" s="21" t="s">
        <v>153</v>
      </c>
      <c r="P70" s="21"/>
      <c r="Q70" s="21"/>
      <c r="R70" s="21"/>
      <c r="S70" s="21"/>
      <c r="T70" s="21"/>
    </row>
    <row r="72" spans="1:30" x14ac:dyDescent="0.2">
      <c r="C72" s="21" t="s">
        <v>151</v>
      </c>
      <c r="J72" s="21"/>
      <c r="O72" s="21" t="s">
        <v>154</v>
      </c>
    </row>
  </sheetData>
  <mergeCells count="70">
    <mergeCell ref="B46:B47"/>
    <mergeCell ref="D10:D11"/>
    <mergeCell ref="E10:E11"/>
    <mergeCell ref="AB10:AB11"/>
    <mergeCell ref="R10:R11"/>
    <mergeCell ref="S10:Z10"/>
    <mergeCell ref="AA10:AA11"/>
    <mergeCell ref="B10:B11"/>
    <mergeCell ref="C10:C11"/>
    <mergeCell ref="B17:B18"/>
    <mergeCell ref="E17:E18"/>
    <mergeCell ref="B41:B42"/>
    <mergeCell ref="D41:D42"/>
    <mergeCell ref="E41:E42"/>
    <mergeCell ref="D17:D18"/>
    <mergeCell ref="D32:D33"/>
    <mergeCell ref="A57:A58"/>
    <mergeCell ref="B57:B58"/>
    <mergeCell ref="D57:D58"/>
    <mergeCell ref="E57:E58"/>
    <mergeCell ref="B65:C65"/>
    <mergeCell ref="A59:A60"/>
    <mergeCell ref="B59:B60"/>
    <mergeCell ref="D59:D60"/>
    <mergeCell ref="E59:E60"/>
    <mergeCell ref="AD17:AD18"/>
    <mergeCell ref="U27:U28"/>
    <mergeCell ref="AD27:AD28"/>
    <mergeCell ref="A55:A56"/>
    <mergeCell ref="B55:B56"/>
    <mergeCell ref="D55:D56"/>
    <mergeCell ref="E55:E56"/>
    <mergeCell ref="E32:E33"/>
    <mergeCell ref="B37:B38"/>
    <mergeCell ref="D37:D38"/>
    <mergeCell ref="E37:E38"/>
    <mergeCell ref="A46:A47"/>
    <mergeCell ref="D46:D47"/>
    <mergeCell ref="E46:E47"/>
    <mergeCell ref="A27:A28"/>
    <mergeCell ref="A41:A42"/>
    <mergeCell ref="A37:A38"/>
    <mergeCell ref="B1:C1"/>
    <mergeCell ref="B2:C2"/>
    <mergeCell ref="A32:A33"/>
    <mergeCell ref="B32:B33"/>
    <mergeCell ref="A10:A11"/>
    <mergeCell ref="A17:A18"/>
    <mergeCell ref="B27:B28"/>
    <mergeCell ref="D4:P4"/>
    <mergeCell ref="I10:M10"/>
    <mergeCell ref="F10:F11"/>
    <mergeCell ref="G10:G11"/>
    <mergeCell ref="H10:H11"/>
    <mergeCell ref="D27:D28"/>
    <mergeCell ref="E27:E28"/>
    <mergeCell ref="N10:Q10"/>
    <mergeCell ref="AD59:AD60"/>
    <mergeCell ref="U55:U56"/>
    <mergeCell ref="AD55:AD56"/>
    <mergeCell ref="U57:U58"/>
    <mergeCell ref="AD57:AD58"/>
    <mergeCell ref="AD32:AD33"/>
    <mergeCell ref="U32:U33"/>
    <mergeCell ref="U46:U47"/>
    <mergeCell ref="AC10:AC11"/>
    <mergeCell ref="AD10:AD11"/>
    <mergeCell ref="AD46:AD47"/>
    <mergeCell ref="AD37:AD38"/>
    <mergeCell ref="AD41:AD42"/>
  </mergeCells>
  <pageMargins left="0" right="0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4"/>
  <sheetViews>
    <sheetView topLeftCell="A19" workbookViewId="0">
      <selection activeCell="C17" sqref="C17"/>
    </sheetView>
  </sheetViews>
  <sheetFormatPr defaultRowHeight="15" x14ac:dyDescent="0.2"/>
  <cols>
    <col min="1" max="1" width="4.9765625" customWidth="1"/>
    <col min="2" max="2" width="15.87109375" customWidth="1"/>
    <col min="3" max="3" width="10.35546875" customWidth="1"/>
    <col min="5" max="5" width="4.70703125" customWidth="1"/>
    <col min="6" max="6" width="6.72265625" customWidth="1"/>
    <col min="7" max="7" width="5.37890625" customWidth="1"/>
    <col min="9" max="9" width="5.109375" customWidth="1"/>
    <col min="10" max="10" width="5.51171875" customWidth="1"/>
    <col min="11" max="11" width="4.70703125" customWidth="1"/>
    <col min="12" max="12" width="3.62890625" customWidth="1"/>
    <col min="13" max="13" width="3.8984375" customWidth="1"/>
    <col min="14" max="14" width="6.1875" customWidth="1"/>
    <col min="15" max="15" width="9.68359375" customWidth="1"/>
    <col min="16" max="16" width="5.6484375" customWidth="1"/>
    <col min="17" max="17" width="5.24609375" customWidth="1"/>
    <col min="18" max="18" width="8.609375" customWidth="1"/>
    <col min="19" max="19" width="4.70703125" customWidth="1"/>
    <col min="20" max="20" width="5.109375" customWidth="1"/>
    <col min="21" max="21" width="7.26171875" customWidth="1"/>
    <col min="22" max="22" width="5.91796875" customWidth="1"/>
    <col min="23" max="23" width="4.70703125" hidden="1" customWidth="1"/>
    <col min="24" max="27" width="9.14453125" hidden="1" customWidth="1"/>
    <col min="28" max="28" width="8.7421875" customWidth="1"/>
    <col min="29" max="29" width="6.45703125" customWidth="1"/>
    <col min="30" max="30" width="11.296875" customWidth="1"/>
  </cols>
  <sheetData>
    <row r="1" spans="1:30" x14ac:dyDescent="0.2">
      <c r="B1" s="72"/>
      <c r="C1" s="72"/>
      <c r="H1" s="6"/>
      <c r="I1" s="1"/>
      <c r="J1" s="1"/>
      <c r="V1" s="1" t="s">
        <v>39</v>
      </c>
    </row>
    <row r="2" spans="1:30" x14ac:dyDescent="0.2">
      <c r="B2" s="72"/>
      <c r="C2" s="72"/>
      <c r="F2" s="6"/>
      <c r="G2" s="6"/>
      <c r="U2" s="1" t="s">
        <v>149</v>
      </c>
    </row>
    <row r="3" spans="1:30" x14ac:dyDescent="0.2">
      <c r="B3" s="1"/>
      <c r="G3" s="6"/>
      <c r="H3" s="1"/>
      <c r="I3" s="1"/>
      <c r="J3" s="1"/>
      <c r="U3" s="29" t="s">
        <v>70</v>
      </c>
    </row>
    <row r="4" spans="1:30" x14ac:dyDescent="0.2">
      <c r="A4" s="4"/>
      <c r="B4" s="5"/>
      <c r="C4" s="5"/>
      <c r="D4" s="64" t="s">
        <v>23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4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">
      <c r="A5" s="4"/>
      <c r="B5" s="5"/>
      <c r="C5" s="5" t="s">
        <v>24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x14ac:dyDescent="0.2">
      <c r="A6" s="4"/>
      <c r="B6" s="5"/>
      <c r="C6" s="5"/>
      <c r="D6" s="5" t="s">
        <v>196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2">
      <c r="A8" s="4"/>
      <c r="B8" s="5"/>
      <c r="C8" s="5" t="s">
        <v>78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x14ac:dyDescent="0.2">
      <c r="A9" s="4"/>
      <c r="B9" s="5"/>
      <c r="C9" s="5" t="s">
        <v>150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x14ac:dyDescent="0.2">
      <c r="A10" s="75" t="s">
        <v>27</v>
      </c>
      <c r="B10" s="85" t="s">
        <v>0</v>
      </c>
      <c r="C10" s="68" t="s">
        <v>25</v>
      </c>
      <c r="D10" s="68" t="s">
        <v>199</v>
      </c>
      <c r="E10" s="68" t="s">
        <v>1</v>
      </c>
      <c r="F10" s="68" t="s">
        <v>2</v>
      </c>
      <c r="G10" s="68" t="s">
        <v>3</v>
      </c>
      <c r="H10" s="68" t="s">
        <v>4</v>
      </c>
      <c r="I10" s="65" t="s">
        <v>5</v>
      </c>
      <c r="J10" s="66"/>
      <c r="K10" s="66"/>
      <c r="L10" s="66"/>
      <c r="M10" s="67"/>
      <c r="N10" s="53" t="s">
        <v>6</v>
      </c>
      <c r="O10" s="54"/>
      <c r="P10" s="54"/>
      <c r="Q10" s="55"/>
      <c r="R10" s="61" t="s">
        <v>28</v>
      </c>
      <c r="S10" s="82" t="s">
        <v>18</v>
      </c>
      <c r="T10" s="83"/>
      <c r="U10" s="83"/>
      <c r="V10" s="83"/>
      <c r="W10" s="83"/>
      <c r="X10" s="83"/>
      <c r="Y10" s="83"/>
      <c r="Z10" s="84"/>
      <c r="AA10" s="68" t="s">
        <v>19</v>
      </c>
      <c r="AB10" s="61" t="s">
        <v>20</v>
      </c>
      <c r="AC10" s="61" t="s">
        <v>21</v>
      </c>
      <c r="AD10" s="61" t="s">
        <v>22</v>
      </c>
    </row>
    <row r="11" spans="1:30" ht="158.25" x14ac:dyDescent="0.2">
      <c r="A11" s="76"/>
      <c r="B11" s="86"/>
      <c r="C11" s="69"/>
      <c r="D11" s="69"/>
      <c r="E11" s="69"/>
      <c r="F11" s="69"/>
      <c r="G11" s="69"/>
      <c r="H11" s="69"/>
      <c r="I11" s="7" t="s">
        <v>7</v>
      </c>
      <c r="J11" s="7" t="s">
        <v>8</v>
      </c>
      <c r="K11" s="7" t="s">
        <v>9</v>
      </c>
      <c r="L11" s="7" t="s">
        <v>193</v>
      </c>
      <c r="M11" s="7" t="s">
        <v>10</v>
      </c>
      <c r="N11" s="7" t="s">
        <v>7</v>
      </c>
      <c r="O11" s="7" t="s">
        <v>8</v>
      </c>
      <c r="P11" s="7" t="s">
        <v>9</v>
      </c>
      <c r="Q11" s="7" t="s">
        <v>192</v>
      </c>
      <c r="R11" s="62"/>
      <c r="S11" s="8" t="s">
        <v>11</v>
      </c>
      <c r="T11" s="8" t="s">
        <v>12</v>
      </c>
      <c r="U11" s="8" t="s">
        <v>13</v>
      </c>
      <c r="V11" s="8" t="s">
        <v>148</v>
      </c>
      <c r="W11" s="7" t="s">
        <v>14</v>
      </c>
      <c r="X11" s="7" t="s">
        <v>15</v>
      </c>
      <c r="Y11" s="7" t="s">
        <v>16</v>
      </c>
      <c r="Z11" s="7" t="s">
        <v>17</v>
      </c>
      <c r="AA11" s="69"/>
      <c r="AB11" s="62"/>
      <c r="AC11" s="62"/>
      <c r="AD11" s="62"/>
    </row>
    <row r="12" spans="1:30" x14ac:dyDescent="0.2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  <c r="R12" s="10">
        <v>18</v>
      </c>
      <c r="S12" s="10">
        <v>19</v>
      </c>
      <c r="T12" s="10">
        <v>20</v>
      </c>
      <c r="U12" s="10">
        <v>21</v>
      </c>
      <c r="V12" s="10">
        <v>22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23</v>
      </c>
      <c r="AC12" s="10">
        <v>28</v>
      </c>
      <c r="AD12" s="10">
        <v>24</v>
      </c>
    </row>
    <row r="13" spans="1:30" ht="27.75" x14ac:dyDescent="0.2">
      <c r="A13" s="9" t="s">
        <v>79</v>
      </c>
      <c r="B13" s="3" t="s">
        <v>195</v>
      </c>
      <c r="C13" s="3" t="s">
        <v>194</v>
      </c>
      <c r="D13" s="3" t="s">
        <v>142</v>
      </c>
      <c r="E13" s="2">
        <v>6</v>
      </c>
      <c r="F13" s="2">
        <v>2.4510000000000001</v>
      </c>
      <c r="G13" s="2">
        <v>7040</v>
      </c>
      <c r="H13" s="2">
        <f t="shared" ref="H13" si="0">G13*F13</f>
        <v>17255.04</v>
      </c>
      <c r="I13" s="2">
        <v>16</v>
      </c>
      <c r="J13" s="2"/>
      <c r="K13" s="2"/>
      <c r="L13" s="2"/>
      <c r="M13" s="2">
        <f t="shared" ref="M13" si="1">I13+J13+K13</f>
        <v>16</v>
      </c>
      <c r="N13" s="2">
        <f t="shared" ref="N13" si="2">H13/16*I13</f>
        <v>17255.04</v>
      </c>
      <c r="O13" s="2">
        <f t="shared" ref="O13" si="3">H13/18*J13</f>
        <v>0</v>
      </c>
      <c r="P13" s="2">
        <f t="shared" ref="P13" si="4">H13/18*K13</f>
        <v>0</v>
      </c>
      <c r="Q13" s="2"/>
      <c r="R13" s="12">
        <f t="shared" ref="R13" si="5">N13+O13+P13</f>
        <v>17255.04</v>
      </c>
      <c r="S13" s="2">
        <v>1400</v>
      </c>
      <c r="T13" s="11">
        <f>2700/16*7</f>
        <v>1181.25</v>
      </c>
      <c r="U13" s="12">
        <f>H13*10%</f>
        <v>1725.5040000000001</v>
      </c>
      <c r="V13" s="11">
        <f>(1.886*7040)/20*8</f>
        <v>5310.9759999999997</v>
      </c>
      <c r="W13" s="2"/>
      <c r="X13" s="2"/>
      <c r="Y13" s="2"/>
      <c r="Z13" s="2"/>
      <c r="AA13" s="2"/>
      <c r="AB13" s="12">
        <f t="shared" ref="AB13" si="6">R13+S13+T13+U13+V13</f>
        <v>26872.77</v>
      </c>
      <c r="AC13" s="2"/>
      <c r="AD13" s="13">
        <f t="shared" ref="AD13" si="7">AB13</f>
        <v>26872.77</v>
      </c>
    </row>
    <row r="14" spans="1:30" ht="41.25" x14ac:dyDescent="0.2">
      <c r="A14" s="9" t="s">
        <v>83</v>
      </c>
      <c r="B14" s="15" t="s">
        <v>157</v>
      </c>
      <c r="C14" s="3" t="s">
        <v>144</v>
      </c>
      <c r="D14" s="3" t="s">
        <v>175</v>
      </c>
      <c r="E14" s="2">
        <v>13</v>
      </c>
      <c r="F14" s="2">
        <v>2.2679999999999998</v>
      </c>
      <c r="G14" s="2">
        <v>7040</v>
      </c>
      <c r="H14" s="2">
        <f t="shared" ref="H14:H15" si="8">G14*F14</f>
        <v>15966.72</v>
      </c>
      <c r="I14" s="2"/>
      <c r="J14" s="2">
        <v>16</v>
      </c>
      <c r="K14" s="2">
        <v>2</v>
      </c>
      <c r="L14" s="2"/>
      <c r="M14" s="2">
        <f t="shared" ref="M14:M21" si="9">I14+J14+K14</f>
        <v>18</v>
      </c>
      <c r="N14" s="2">
        <f t="shared" ref="N14:N20" si="10">H14/16*I14</f>
        <v>0</v>
      </c>
      <c r="O14" s="2">
        <f t="shared" ref="O14:O21" si="11">H14/18*J14</f>
        <v>14192.64</v>
      </c>
      <c r="P14" s="2">
        <f t="shared" ref="P14:P19" si="12">H14/18*K14</f>
        <v>1774.08</v>
      </c>
      <c r="Q14" s="2"/>
      <c r="R14" s="12">
        <f t="shared" ref="R14:R21" si="13">N14+O14+P14</f>
        <v>15966.72</v>
      </c>
      <c r="S14" s="2">
        <v>1400</v>
      </c>
      <c r="T14" s="11"/>
      <c r="U14" s="12">
        <f>H14*30%</f>
        <v>4790.0159999999996</v>
      </c>
      <c r="V14" s="11">
        <f>(1.886*7040)/20*4</f>
        <v>2655.4879999999998</v>
      </c>
      <c r="W14" s="2"/>
      <c r="X14" s="2"/>
      <c r="Y14" s="2"/>
      <c r="Z14" s="2"/>
      <c r="AA14" s="2"/>
      <c r="AB14" s="12">
        <f t="shared" ref="AB14:AB16" si="14">R14+S14+T14+U14+V14</f>
        <v>24812.224000000002</v>
      </c>
      <c r="AC14" s="2"/>
      <c r="AD14" s="13">
        <f t="shared" ref="AD14:AD18" si="15">AB14</f>
        <v>24812.224000000002</v>
      </c>
    </row>
    <row r="15" spans="1:30" s="36" customFormat="1" ht="54.75" x14ac:dyDescent="0.2">
      <c r="A15" s="9" t="s">
        <v>85</v>
      </c>
      <c r="B15" s="15" t="s">
        <v>73</v>
      </c>
      <c r="C15" s="3" t="s">
        <v>179</v>
      </c>
      <c r="D15" s="3" t="s">
        <v>69</v>
      </c>
      <c r="E15" s="2">
        <v>7</v>
      </c>
      <c r="F15" s="2">
        <v>2.4510000000000001</v>
      </c>
      <c r="G15" s="2">
        <v>7040</v>
      </c>
      <c r="H15" s="2">
        <f t="shared" si="8"/>
        <v>17255.04</v>
      </c>
      <c r="I15" s="2"/>
      <c r="J15" s="2">
        <v>24</v>
      </c>
      <c r="K15" s="2"/>
      <c r="L15" s="2"/>
      <c r="M15" s="2">
        <f t="shared" si="9"/>
        <v>24</v>
      </c>
      <c r="N15" s="2">
        <f t="shared" si="10"/>
        <v>0</v>
      </c>
      <c r="O15" s="14">
        <f t="shared" si="11"/>
        <v>23006.720000000001</v>
      </c>
      <c r="P15" s="2">
        <f t="shared" si="12"/>
        <v>0</v>
      </c>
      <c r="Q15" s="2"/>
      <c r="R15" s="12">
        <f t="shared" si="13"/>
        <v>23006.720000000001</v>
      </c>
      <c r="S15" s="2">
        <v>1400</v>
      </c>
      <c r="T15" s="11">
        <f>2700/18*8</f>
        <v>1200</v>
      </c>
      <c r="U15" s="14">
        <f>H15*10%</f>
        <v>1725.5040000000001</v>
      </c>
      <c r="V15" s="2"/>
      <c r="W15" s="2"/>
      <c r="X15" s="2"/>
      <c r="Y15" s="2"/>
      <c r="Z15" s="2"/>
      <c r="AA15" s="2"/>
      <c r="AB15" s="12">
        <f t="shared" si="14"/>
        <v>27332.224000000002</v>
      </c>
      <c r="AC15" s="2"/>
      <c r="AD15" s="13">
        <f t="shared" si="15"/>
        <v>27332.224000000002</v>
      </c>
    </row>
    <row r="16" spans="1:30" s="36" customFormat="1" ht="45" customHeight="1" x14ac:dyDescent="0.2">
      <c r="A16" s="48" t="s">
        <v>88</v>
      </c>
      <c r="B16" s="73" t="s">
        <v>97</v>
      </c>
      <c r="C16" s="3" t="s">
        <v>200</v>
      </c>
      <c r="D16" s="49" t="s">
        <v>96</v>
      </c>
      <c r="E16" s="73">
        <v>45</v>
      </c>
      <c r="F16" s="16">
        <v>2.722</v>
      </c>
      <c r="G16" s="2">
        <v>7040</v>
      </c>
      <c r="H16" s="2">
        <f>G16*F16</f>
        <v>19162.88</v>
      </c>
      <c r="I16" s="2">
        <v>12</v>
      </c>
      <c r="J16" s="2"/>
      <c r="K16" s="2"/>
      <c r="L16" s="2"/>
      <c r="M16" s="2">
        <f t="shared" si="9"/>
        <v>12</v>
      </c>
      <c r="N16" s="2">
        <f t="shared" si="10"/>
        <v>14372.16</v>
      </c>
      <c r="O16" s="2">
        <f t="shared" si="11"/>
        <v>0</v>
      </c>
      <c r="P16" s="2">
        <f t="shared" si="12"/>
        <v>0</v>
      </c>
      <c r="Q16" s="2"/>
      <c r="R16" s="12">
        <f t="shared" si="13"/>
        <v>14372.16</v>
      </c>
      <c r="S16" s="2"/>
      <c r="T16" s="11"/>
      <c r="U16" s="12">
        <v>5509.15</v>
      </c>
      <c r="V16" s="2"/>
      <c r="W16" s="2"/>
      <c r="X16" s="2"/>
      <c r="Y16" s="2"/>
      <c r="Z16" s="2"/>
      <c r="AA16" s="2"/>
      <c r="AB16" s="12">
        <f t="shared" si="14"/>
        <v>19881.309999999998</v>
      </c>
      <c r="AC16" s="2"/>
      <c r="AD16" s="56">
        <f>AB16+AB17</f>
        <v>32299.869999999995</v>
      </c>
    </row>
    <row r="17" spans="1:30" s="36" customFormat="1" x14ac:dyDescent="0.2">
      <c r="A17" s="45"/>
      <c r="B17" s="74"/>
      <c r="C17" s="3" t="s">
        <v>201</v>
      </c>
      <c r="D17" s="78"/>
      <c r="E17" s="74"/>
      <c r="F17" s="2">
        <v>2.2679999999999998</v>
      </c>
      <c r="G17" s="2">
        <v>7040</v>
      </c>
      <c r="H17" s="2">
        <f>G17*F17</f>
        <v>15966.72</v>
      </c>
      <c r="I17" s="2"/>
      <c r="J17" s="2">
        <v>14</v>
      </c>
      <c r="K17" s="2"/>
      <c r="L17" s="2"/>
      <c r="M17" s="2">
        <f>L17+K17+J17</f>
        <v>14</v>
      </c>
      <c r="N17" s="2"/>
      <c r="O17" s="2">
        <f>H17/18*J17</f>
        <v>12418.56</v>
      </c>
      <c r="P17" s="2"/>
      <c r="Q17" s="2"/>
      <c r="R17" s="12">
        <f>Q17+P17+O17</f>
        <v>12418.56</v>
      </c>
      <c r="S17" s="2"/>
      <c r="T17" s="11"/>
      <c r="U17" s="12"/>
      <c r="V17" s="2"/>
      <c r="W17" s="2"/>
      <c r="X17" s="2"/>
      <c r="Y17" s="2"/>
      <c r="Z17" s="2"/>
      <c r="AA17" s="2"/>
      <c r="AB17" s="12">
        <f>U17+T17+S17+R17</f>
        <v>12418.56</v>
      </c>
      <c r="AC17" s="2"/>
      <c r="AD17" s="57"/>
    </row>
    <row r="18" spans="1:30" s="6" customFormat="1" ht="54.75" x14ac:dyDescent="0.2">
      <c r="A18" s="9" t="s">
        <v>91</v>
      </c>
      <c r="B18" s="3" t="s">
        <v>197</v>
      </c>
      <c r="C18" s="3" t="s">
        <v>198</v>
      </c>
      <c r="D18" s="3" t="s">
        <v>110</v>
      </c>
      <c r="E18" s="2">
        <v>16</v>
      </c>
      <c r="F18" s="2">
        <v>2.2679999999999998</v>
      </c>
      <c r="G18" s="2">
        <v>7040</v>
      </c>
      <c r="H18" s="2">
        <f t="shared" ref="H18:H21" si="16">G18*F18</f>
        <v>15966.72</v>
      </c>
      <c r="I18" s="2"/>
      <c r="J18" s="2">
        <v>12</v>
      </c>
      <c r="K18" s="2">
        <v>6</v>
      </c>
      <c r="L18" s="2"/>
      <c r="M18" s="2">
        <f t="shared" si="9"/>
        <v>18</v>
      </c>
      <c r="N18" s="2">
        <f t="shared" si="10"/>
        <v>0</v>
      </c>
      <c r="O18" s="2">
        <f t="shared" si="11"/>
        <v>10644.48</v>
      </c>
      <c r="P18" s="2">
        <f t="shared" si="12"/>
        <v>5322.24</v>
      </c>
      <c r="Q18" s="2"/>
      <c r="R18" s="12">
        <f t="shared" si="13"/>
        <v>15966.72</v>
      </c>
      <c r="S18" s="2"/>
      <c r="T18" s="11"/>
      <c r="U18" s="14">
        <f>H18*30%</f>
        <v>4790.0159999999996</v>
      </c>
      <c r="V18" s="11"/>
      <c r="W18" s="2"/>
      <c r="X18" s="2"/>
      <c r="Y18" s="2"/>
      <c r="Z18" s="2"/>
      <c r="AA18" s="2"/>
      <c r="AB18" s="12">
        <f t="shared" ref="AB18" si="17">U18+T18+S18+R18</f>
        <v>20756.735999999997</v>
      </c>
      <c r="AC18" s="2"/>
      <c r="AD18" s="13">
        <f t="shared" si="15"/>
        <v>20756.735999999997</v>
      </c>
    </row>
    <row r="19" spans="1:30" s="6" customFormat="1" ht="27.75" x14ac:dyDescent="0.2">
      <c r="A19" s="70" t="s">
        <v>40</v>
      </c>
      <c r="B19" s="73" t="s">
        <v>143</v>
      </c>
      <c r="C19" s="3" t="s">
        <v>187</v>
      </c>
      <c r="D19" s="49" t="s">
        <v>145</v>
      </c>
      <c r="E19" s="51">
        <v>8</v>
      </c>
      <c r="F19" s="2">
        <v>2.2679999999999998</v>
      </c>
      <c r="G19" s="2">
        <v>7040</v>
      </c>
      <c r="H19" s="2">
        <f t="shared" si="16"/>
        <v>15966.72</v>
      </c>
      <c r="I19" s="2"/>
      <c r="J19" s="2">
        <v>2</v>
      </c>
      <c r="K19" s="2">
        <v>4</v>
      </c>
      <c r="L19" s="2"/>
      <c r="M19" s="2">
        <f t="shared" si="9"/>
        <v>6</v>
      </c>
      <c r="N19" s="2">
        <f t="shared" si="10"/>
        <v>0</v>
      </c>
      <c r="O19" s="2">
        <f t="shared" si="11"/>
        <v>1774.08</v>
      </c>
      <c r="P19" s="2">
        <f t="shared" si="12"/>
        <v>3548.16</v>
      </c>
      <c r="Q19" s="2"/>
      <c r="R19" s="12">
        <f t="shared" si="13"/>
        <v>5322.24</v>
      </c>
      <c r="S19" s="2">
        <v>1400</v>
      </c>
      <c r="T19" s="2"/>
      <c r="U19" s="14"/>
      <c r="V19" s="12"/>
      <c r="W19" s="2"/>
      <c r="X19" s="2"/>
      <c r="Y19" s="2"/>
      <c r="Z19" s="2"/>
      <c r="AA19" s="2"/>
      <c r="AB19" s="12">
        <f>U19+T19+S19+R19+V19</f>
        <v>6722.24</v>
      </c>
      <c r="AC19" s="2"/>
      <c r="AD19" s="56">
        <f>AB19+AB20</f>
        <v>22016.888888888891</v>
      </c>
    </row>
    <row r="20" spans="1:30" s="6" customFormat="1" x14ac:dyDescent="0.2">
      <c r="A20" s="71"/>
      <c r="B20" s="74"/>
      <c r="C20" s="3" t="s">
        <v>45</v>
      </c>
      <c r="D20" s="78"/>
      <c r="E20" s="60"/>
      <c r="F20" s="2">
        <v>2.722</v>
      </c>
      <c r="G20" s="2">
        <v>7040</v>
      </c>
      <c r="H20" s="2">
        <f t="shared" si="16"/>
        <v>19162.88</v>
      </c>
      <c r="I20" s="2"/>
      <c r="J20" s="2">
        <v>11</v>
      </c>
      <c r="K20" s="2"/>
      <c r="L20" s="2"/>
      <c r="M20" s="2">
        <f t="shared" si="9"/>
        <v>11</v>
      </c>
      <c r="N20" s="2">
        <f t="shared" si="10"/>
        <v>0</v>
      </c>
      <c r="O20" s="2">
        <f t="shared" si="11"/>
        <v>11710.648888888889</v>
      </c>
      <c r="P20" s="2"/>
      <c r="Q20" s="2"/>
      <c r="R20" s="12">
        <f t="shared" si="13"/>
        <v>11710.648888888889</v>
      </c>
      <c r="S20" s="2"/>
      <c r="T20" s="2"/>
      <c r="U20" s="2">
        <v>3584</v>
      </c>
      <c r="V20" s="2"/>
      <c r="W20" s="2"/>
      <c r="X20" s="2"/>
      <c r="Y20" s="2"/>
      <c r="Z20" s="2"/>
      <c r="AA20" s="2"/>
      <c r="AB20" s="12">
        <f>U20+T20+S20+R20</f>
        <v>15294.648888888889</v>
      </c>
      <c r="AC20" s="2"/>
      <c r="AD20" s="57"/>
    </row>
    <row r="21" spans="1:30" s="36" customFormat="1" ht="45" customHeight="1" x14ac:dyDescent="0.2">
      <c r="A21" s="47" t="s">
        <v>29</v>
      </c>
      <c r="B21" s="46" t="s">
        <v>204</v>
      </c>
      <c r="C21" s="3" t="s">
        <v>147</v>
      </c>
      <c r="D21" s="44" t="s">
        <v>82</v>
      </c>
      <c r="E21" s="43">
        <v>4</v>
      </c>
      <c r="F21" s="2">
        <v>2.722</v>
      </c>
      <c r="G21" s="2">
        <v>7040</v>
      </c>
      <c r="H21" s="2">
        <f t="shared" si="16"/>
        <v>19162.88</v>
      </c>
      <c r="I21" s="2">
        <v>18</v>
      </c>
      <c r="J21" s="2"/>
      <c r="K21" s="2"/>
      <c r="L21" s="2"/>
      <c r="M21" s="2">
        <f t="shared" si="9"/>
        <v>18</v>
      </c>
      <c r="N21" s="2">
        <f t="shared" ref="N21" si="18">H21/16*I21</f>
        <v>21558.240000000002</v>
      </c>
      <c r="O21" s="2">
        <f t="shared" si="11"/>
        <v>0</v>
      </c>
      <c r="P21" s="2">
        <f t="shared" ref="P21" si="19">H21/18*K21</f>
        <v>0</v>
      </c>
      <c r="Q21" s="2"/>
      <c r="R21" s="12">
        <f t="shared" si="13"/>
        <v>21558.240000000002</v>
      </c>
      <c r="S21" s="2">
        <v>1400</v>
      </c>
      <c r="T21" s="2">
        <f>2700/16*8</f>
        <v>1350</v>
      </c>
      <c r="U21" s="12">
        <f>H21*10%</f>
        <v>1916.2880000000002</v>
      </c>
      <c r="V21" s="2"/>
      <c r="W21" s="2"/>
      <c r="X21" s="2"/>
      <c r="Y21" s="2"/>
      <c r="Z21" s="2"/>
      <c r="AA21" s="2"/>
      <c r="AB21" s="12">
        <f t="shared" ref="AB21" si="20">R21+S21+T21+U21+V21</f>
        <v>26224.528000000002</v>
      </c>
      <c r="AC21" s="2"/>
      <c r="AD21" s="13">
        <f t="shared" ref="AD21" si="21">AB21</f>
        <v>26224.528000000002</v>
      </c>
    </row>
    <row r="22" spans="1:30" s="6" customFormat="1" ht="45.75" customHeight="1" x14ac:dyDescent="0.2">
      <c r="A22" s="9" t="s">
        <v>30</v>
      </c>
      <c r="B22" s="15" t="s">
        <v>127</v>
      </c>
      <c r="C22" s="3" t="s">
        <v>84</v>
      </c>
      <c r="D22" s="3" t="s">
        <v>128</v>
      </c>
      <c r="E22" s="2">
        <v>17</v>
      </c>
      <c r="F22" s="2">
        <v>2.177</v>
      </c>
      <c r="G22" s="2">
        <v>7040</v>
      </c>
      <c r="H22" s="2">
        <f t="shared" ref="H22:H26" si="22">G22*F22</f>
        <v>15326.08</v>
      </c>
      <c r="I22" s="2">
        <v>18</v>
      </c>
      <c r="J22" s="2"/>
      <c r="K22" s="2"/>
      <c r="L22" s="2"/>
      <c r="M22" s="2">
        <f t="shared" ref="M22:M24" si="23">I22+J22+K22</f>
        <v>18</v>
      </c>
      <c r="N22" s="2">
        <f t="shared" ref="N22:N25" si="24">H22/16*I22</f>
        <v>17241.84</v>
      </c>
      <c r="O22" s="2">
        <f t="shared" ref="O22:O26" si="25">H22/18*J22</f>
        <v>0</v>
      </c>
      <c r="P22" s="2">
        <f t="shared" ref="P22:P26" si="26">H22/18*K22</f>
        <v>0</v>
      </c>
      <c r="Q22" s="2"/>
      <c r="R22" s="12">
        <f t="shared" ref="R22:R25" si="27">N22+O22+P22</f>
        <v>17241.84</v>
      </c>
      <c r="S22" s="2">
        <v>1400</v>
      </c>
      <c r="T22" s="11">
        <f>2700/16*8</f>
        <v>1350</v>
      </c>
      <c r="U22" s="14">
        <f>H22*30%</f>
        <v>4597.8239999999996</v>
      </c>
      <c r="V22" s="2"/>
      <c r="W22" s="2"/>
      <c r="X22" s="2"/>
      <c r="Y22" s="2"/>
      <c r="Z22" s="2"/>
      <c r="AA22" s="14"/>
      <c r="AB22" s="12">
        <f t="shared" ref="AB22" si="28">U22+T22+S22+R22</f>
        <v>24589.664000000001</v>
      </c>
      <c r="AC22" s="2"/>
      <c r="AD22" s="13">
        <f t="shared" ref="AD22" si="29">AB22</f>
        <v>24589.664000000001</v>
      </c>
    </row>
    <row r="23" spans="1:30" s="6" customFormat="1" ht="45.75" customHeight="1" x14ac:dyDescent="0.2">
      <c r="A23" s="70" t="s">
        <v>31</v>
      </c>
      <c r="B23" s="73" t="s">
        <v>114</v>
      </c>
      <c r="C23" s="3" t="s">
        <v>115</v>
      </c>
      <c r="D23" s="49" t="s">
        <v>116</v>
      </c>
      <c r="E23" s="51">
        <v>10</v>
      </c>
      <c r="F23" s="17">
        <v>3.13</v>
      </c>
      <c r="G23" s="2">
        <v>7040</v>
      </c>
      <c r="H23" s="2">
        <f t="shared" si="22"/>
        <v>22035.200000000001</v>
      </c>
      <c r="I23" s="2">
        <v>6</v>
      </c>
      <c r="J23" s="2"/>
      <c r="K23" s="2"/>
      <c r="L23" s="2"/>
      <c r="M23" s="2">
        <f t="shared" si="23"/>
        <v>6</v>
      </c>
      <c r="N23" s="2">
        <f t="shared" si="24"/>
        <v>8263.2000000000007</v>
      </c>
      <c r="O23" s="2">
        <f t="shared" si="25"/>
        <v>0</v>
      </c>
      <c r="P23" s="2">
        <f t="shared" si="26"/>
        <v>0</v>
      </c>
      <c r="Q23" s="2"/>
      <c r="R23" s="12">
        <f t="shared" si="27"/>
        <v>8263.2000000000007</v>
      </c>
      <c r="S23" s="2"/>
      <c r="T23" s="11">
        <f>2700/16*6</f>
        <v>1012.5</v>
      </c>
      <c r="U23" s="2"/>
      <c r="V23" s="2"/>
      <c r="W23" s="2"/>
      <c r="X23" s="2"/>
      <c r="Y23" s="2"/>
      <c r="Z23" s="2"/>
      <c r="AA23" s="14"/>
      <c r="AB23" s="12">
        <f t="shared" ref="AB23:AB24" si="30">R23+S23+T23+U23+V23</f>
        <v>9275.7000000000007</v>
      </c>
      <c r="AC23" s="2"/>
      <c r="AD23" s="56">
        <f>AB23+AB24</f>
        <v>26813.593333333334</v>
      </c>
    </row>
    <row r="24" spans="1:30" s="6" customFormat="1" ht="37.5" customHeight="1" x14ac:dyDescent="0.2">
      <c r="A24" s="79"/>
      <c r="B24" s="77"/>
      <c r="C24" s="3" t="s">
        <v>41</v>
      </c>
      <c r="D24" s="50"/>
      <c r="E24" s="52"/>
      <c r="F24" s="2">
        <v>2.6080000000000001</v>
      </c>
      <c r="G24" s="2">
        <v>7040</v>
      </c>
      <c r="H24" s="2">
        <f>G24*F24</f>
        <v>18360.32</v>
      </c>
      <c r="I24" s="2"/>
      <c r="J24" s="2">
        <v>12</v>
      </c>
      <c r="K24" s="2"/>
      <c r="L24" s="2"/>
      <c r="M24" s="2">
        <f t="shared" si="23"/>
        <v>12</v>
      </c>
      <c r="N24" s="2">
        <f t="shared" si="24"/>
        <v>0</v>
      </c>
      <c r="O24" s="2">
        <f t="shared" si="25"/>
        <v>12240.213333333333</v>
      </c>
      <c r="P24" s="2">
        <f t="shared" si="26"/>
        <v>0</v>
      </c>
      <c r="Q24" s="2"/>
      <c r="R24" s="12">
        <f t="shared" si="27"/>
        <v>12240.213333333333</v>
      </c>
      <c r="S24" s="2"/>
      <c r="T24" s="11">
        <f>2700/18*9</f>
        <v>1350</v>
      </c>
      <c r="U24" s="14">
        <v>3947.68</v>
      </c>
      <c r="V24" s="2"/>
      <c r="W24" s="2"/>
      <c r="X24" s="2"/>
      <c r="Y24" s="2"/>
      <c r="Z24" s="2"/>
      <c r="AA24" s="14"/>
      <c r="AB24" s="12">
        <f t="shared" si="30"/>
        <v>17537.893333333333</v>
      </c>
      <c r="AC24" s="2"/>
      <c r="AD24" s="63"/>
    </row>
    <row r="25" spans="1:30" s="6" customFormat="1" ht="45.75" customHeight="1" x14ac:dyDescent="0.2">
      <c r="A25" s="9" t="s">
        <v>32</v>
      </c>
      <c r="B25" s="3" t="s">
        <v>203</v>
      </c>
      <c r="C25" s="3" t="s">
        <v>205</v>
      </c>
      <c r="D25" s="3"/>
      <c r="E25" s="2"/>
      <c r="F25" s="11">
        <v>2.2679999999999998</v>
      </c>
      <c r="G25" s="2">
        <v>7040</v>
      </c>
      <c r="H25" s="2">
        <f>G25*F25</f>
        <v>15966.72</v>
      </c>
      <c r="I25" s="2"/>
      <c r="J25" s="2">
        <v>2</v>
      </c>
      <c r="K25" s="2"/>
      <c r="L25" s="2"/>
      <c r="M25" s="2"/>
      <c r="N25" s="2">
        <f t="shared" si="24"/>
        <v>0</v>
      </c>
      <c r="O25" s="2">
        <f t="shared" ref="O25" si="31">H25/18*J25</f>
        <v>1774.08</v>
      </c>
      <c r="P25" s="2">
        <f t="shared" ref="P25" si="32">H25/18*K25</f>
        <v>0</v>
      </c>
      <c r="Q25" s="2"/>
      <c r="R25" s="12">
        <f t="shared" si="27"/>
        <v>1774.08</v>
      </c>
      <c r="S25" s="2"/>
      <c r="T25" s="11"/>
      <c r="U25" s="14"/>
      <c r="V25" s="2"/>
      <c r="W25" s="2"/>
      <c r="X25" s="2"/>
      <c r="Y25" s="2"/>
      <c r="Z25" s="2"/>
      <c r="AA25" s="14"/>
      <c r="AB25" s="12"/>
      <c r="AC25" s="2"/>
      <c r="AD25" s="12">
        <f>AB25+V25+U25+T25+S25+R25+Q25</f>
        <v>1774.08</v>
      </c>
    </row>
    <row r="26" spans="1:30" s="6" customFormat="1" ht="45.75" customHeight="1" x14ac:dyDescent="0.2">
      <c r="A26" s="9" t="s">
        <v>42</v>
      </c>
      <c r="B26" s="3" t="s">
        <v>203</v>
      </c>
      <c r="C26" s="3" t="s">
        <v>202</v>
      </c>
      <c r="D26" s="3"/>
      <c r="E26" s="2"/>
      <c r="F26" s="2">
        <v>1.8859999999999999</v>
      </c>
      <c r="G26" s="2">
        <v>7040</v>
      </c>
      <c r="H26" s="2">
        <f t="shared" si="22"/>
        <v>13277.439999999999</v>
      </c>
      <c r="I26" s="2"/>
      <c r="J26" s="2"/>
      <c r="K26" s="2"/>
      <c r="L26" s="2"/>
      <c r="M26" s="2"/>
      <c r="N26" s="2"/>
      <c r="O26" s="2">
        <f t="shared" si="25"/>
        <v>0</v>
      </c>
      <c r="P26" s="2">
        <f t="shared" si="26"/>
        <v>0</v>
      </c>
      <c r="Q26" s="2"/>
      <c r="R26" s="12"/>
      <c r="S26" s="2"/>
      <c r="T26" s="11"/>
      <c r="U26" s="14"/>
      <c r="V26" s="2">
        <f>H26/20*15</f>
        <v>9958.08</v>
      </c>
      <c r="W26" s="2"/>
      <c r="X26" s="2"/>
      <c r="Y26" s="2"/>
      <c r="Z26" s="2"/>
      <c r="AA26" s="14"/>
      <c r="AB26" s="12">
        <v>9958</v>
      </c>
      <c r="AC26" s="2"/>
      <c r="AD26" s="12">
        <v>9958</v>
      </c>
    </row>
    <row r="27" spans="1:30" s="21" customFormat="1" x14ac:dyDescent="0.2">
      <c r="A27" s="18"/>
      <c r="B27" s="80" t="s">
        <v>33</v>
      </c>
      <c r="C27" s="81"/>
      <c r="D27" s="19"/>
      <c r="E27" s="19"/>
      <c r="F27" s="19"/>
      <c r="G27" s="19"/>
      <c r="H27" s="20"/>
      <c r="I27" s="30">
        <f>SUM(I13:I26)</f>
        <v>70</v>
      </c>
      <c r="J27" s="30">
        <f>SUM(J13:J26)</f>
        <v>93</v>
      </c>
      <c r="K27" s="30">
        <f>SUM(K13:K26)</f>
        <v>12</v>
      </c>
      <c r="L27" s="30">
        <f t="shared" ref="L27:Q27" si="33">SUM(L13:L18)</f>
        <v>0</v>
      </c>
      <c r="M27" s="30">
        <f>SUM(M13:M26)</f>
        <v>173</v>
      </c>
      <c r="N27" s="30">
        <f>SUM(N13:N26)</f>
        <v>78690.48</v>
      </c>
      <c r="O27" s="30">
        <f>SUM(O13:O26)</f>
        <v>87761.422222222216</v>
      </c>
      <c r="P27" s="30">
        <f>SUM(P13:P26)</f>
        <v>10644.48</v>
      </c>
      <c r="Q27" s="30">
        <f t="shared" si="33"/>
        <v>0</v>
      </c>
      <c r="R27" s="30">
        <f>SUM(R13:R26)</f>
        <v>177096.38222222219</v>
      </c>
      <c r="S27" s="30">
        <f>SUM(S13:S26)</f>
        <v>8400</v>
      </c>
      <c r="T27" s="30">
        <f>SUM(T13:T26)</f>
        <v>7443.75</v>
      </c>
      <c r="U27" s="30">
        <f>SUM(U13:U26)</f>
        <v>32585.982</v>
      </c>
      <c r="V27" s="30">
        <f>SUM(V13:V26)</f>
        <v>17924.544000000002</v>
      </c>
      <c r="W27" s="30" t="e">
        <f t="shared" ref="W27" si="34">SUM(#REF!)</f>
        <v>#REF!</v>
      </c>
      <c r="X27" s="30" t="e">
        <f t="shared" ref="X27" si="35">SUM(#REF!)</f>
        <v>#REF!</v>
      </c>
      <c r="Y27" s="30" t="e">
        <f t="shared" ref="Y27" si="36">SUM(#REF!)</f>
        <v>#REF!</v>
      </c>
      <c r="Z27" s="30" t="e">
        <f t="shared" ref="Z27" si="37">SUM(#REF!)</f>
        <v>#REF!</v>
      </c>
      <c r="AA27" s="30" t="e">
        <f t="shared" ref="AA27" si="38">SUM(#REF!)</f>
        <v>#REF!</v>
      </c>
      <c r="AB27" s="30">
        <f>SUM(AB13:AB26)</f>
        <v>241676.4982222222</v>
      </c>
      <c r="AC27" s="30">
        <f>SUM(AC13:AC18)</f>
        <v>0</v>
      </c>
      <c r="AD27" s="30">
        <f>SUM(AD13:AD26)</f>
        <v>243450.57822222219</v>
      </c>
    </row>
    <row r="29" spans="1:30" x14ac:dyDescent="0.2">
      <c r="D29" s="28" t="s">
        <v>34</v>
      </c>
      <c r="E29" s="28"/>
      <c r="F29" s="28"/>
      <c r="G29" s="28"/>
      <c r="H29" s="6"/>
      <c r="I29" s="21"/>
      <c r="J29" s="21"/>
      <c r="K29" s="21"/>
      <c r="L29" s="21"/>
      <c r="M29" s="21"/>
      <c r="N29" s="21"/>
      <c r="O29" s="21"/>
      <c r="P29" s="21" t="s">
        <v>35</v>
      </c>
      <c r="Q29" s="21"/>
    </row>
    <row r="30" spans="1:30" x14ac:dyDescent="0.2">
      <c r="D30" s="28" t="s">
        <v>36</v>
      </c>
      <c r="E30" s="28"/>
      <c r="F30" s="28"/>
      <c r="G30" s="28"/>
      <c r="H30" s="6"/>
      <c r="I30" s="21"/>
      <c r="J30" s="21"/>
      <c r="K30" s="21"/>
      <c r="L30" s="21"/>
      <c r="M30" s="21"/>
      <c r="N30" s="21"/>
      <c r="O30" s="21"/>
      <c r="P30" s="21" t="s">
        <v>171</v>
      </c>
      <c r="Q30" s="21"/>
    </row>
    <row r="31" spans="1:30" x14ac:dyDescent="0.2">
      <c r="D31" s="21" t="s">
        <v>37</v>
      </c>
      <c r="E31" s="28"/>
      <c r="F31" s="28"/>
      <c r="G31" s="28"/>
      <c r="H31" s="6"/>
      <c r="I31" s="21"/>
      <c r="J31" s="21"/>
      <c r="K31" s="21"/>
      <c r="L31" s="21"/>
      <c r="M31" s="21"/>
      <c r="N31" s="21"/>
      <c r="O31" s="21"/>
      <c r="P31" s="21" t="s">
        <v>190</v>
      </c>
      <c r="Q31" s="21"/>
    </row>
    <row r="32" spans="1:30" x14ac:dyDescent="0.2">
      <c r="D32" s="21" t="s">
        <v>152</v>
      </c>
      <c r="E32" s="21"/>
      <c r="F32" s="21"/>
      <c r="G32" s="21"/>
      <c r="H32" s="6"/>
      <c r="I32" s="21"/>
      <c r="J32" s="21"/>
      <c r="K32" s="21"/>
      <c r="L32" s="21"/>
      <c r="M32" s="21"/>
      <c r="N32" s="21"/>
      <c r="O32" s="21"/>
      <c r="P32" s="21" t="s">
        <v>153</v>
      </c>
      <c r="Q32" s="21"/>
    </row>
    <row r="33" spans="4:17" x14ac:dyDescent="0.2">
      <c r="D33" s="21" t="s">
        <v>151</v>
      </c>
      <c r="E33" s="6"/>
      <c r="F33" s="6"/>
      <c r="G33" s="6"/>
      <c r="H33" s="6"/>
      <c r="I33" s="6"/>
      <c r="J33" s="6"/>
      <c r="K33" s="21"/>
      <c r="L33" s="6"/>
      <c r="M33" s="6"/>
      <c r="N33" s="6"/>
      <c r="O33" s="6"/>
      <c r="P33" s="21" t="s">
        <v>154</v>
      </c>
      <c r="Q33" s="6"/>
    </row>
    <row r="34" spans="4:17" x14ac:dyDescent="0.2">
      <c r="D34" s="21"/>
      <c r="E34" s="6"/>
      <c r="F34" s="6"/>
      <c r="G34" s="6"/>
      <c r="H34" s="6"/>
      <c r="I34" s="6"/>
      <c r="J34" s="6"/>
      <c r="K34" s="21"/>
      <c r="L34" s="6"/>
      <c r="M34" s="6"/>
      <c r="N34" s="6"/>
      <c r="O34" s="6"/>
      <c r="P34" s="21"/>
      <c r="Q34" s="6"/>
    </row>
  </sheetData>
  <mergeCells count="34">
    <mergeCell ref="A19:A20"/>
    <mergeCell ref="B19:B20"/>
    <mergeCell ref="D19:D20"/>
    <mergeCell ref="E19:E20"/>
    <mergeCell ref="AD19:AD20"/>
    <mergeCell ref="A10:A11"/>
    <mergeCell ref="B10:B11"/>
    <mergeCell ref="C10:C11"/>
    <mergeCell ref="D10:D11"/>
    <mergeCell ref="E10:E11"/>
    <mergeCell ref="B1:C1"/>
    <mergeCell ref="B2:C2"/>
    <mergeCell ref="D4:P4"/>
    <mergeCell ref="H10:H11"/>
    <mergeCell ref="I10:M10"/>
    <mergeCell ref="N10:Q10"/>
    <mergeCell ref="F10:F11"/>
    <mergeCell ref="G10:G11"/>
    <mergeCell ref="AD16:AD17"/>
    <mergeCell ref="D16:D17"/>
    <mergeCell ref="E16:E17"/>
    <mergeCell ref="B27:C27"/>
    <mergeCell ref="AD10:AD11"/>
    <mergeCell ref="AB10:AB11"/>
    <mergeCell ref="AC10:AC11"/>
    <mergeCell ref="R10:R11"/>
    <mergeCell ref="S10:Z10"/>
    <mergeCell ref="AA10:AA11"/>
    <mergeCell ref="B16:B17"/>
    <mergeCell ref="A23:A24"/>
    <mergeCell ref="B23:B24"/>
    <mergeCell ref="D23:D24"/>
    <mergeCell ref="E23:E24"/>
    <mergeCell ref="AD23:A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Педагог.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2022-11-28T04:01:05Z</dcterms:modified>
</cp:coreProperties>
</file>